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4_2025/"/>
    </mc:Choice>
  </mc:AlternateContent>
  <xr:revisionPtr revIDLastSave="0" documentId="8_{5270EB76-1B2D-4721-B8C7-FF3B4CC4FE32}" xr6:coauthVersionLast="47" xr6:coauthVersionMax="47" xr10:uidLastSave="{00000000-0000-0000-0000-000000000000}"/>
  <bookViews>
    <workbookView xWindow="-108" yWindow="-108" windowWidth="23256" windowHeight="12456" tabRatio="929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election-SH-M15" sheetId="52" r:id="rId10"/>
    <sheet name="SD-M15-" sheetId="48" r:id="rId11"/>
    <sheet name="Selection-SD-M15" sheetId="51" r:id="rId12"/>
    <sheet name="SH-M13-" sheetId="29" r:id="rId13"/>
    <sheet name="SD-M13-" sheetId="43" r:id="rId14"/>
    <sheet name="SH-M11-" sheetId="45" r:id="rId15"/>
    <sheet name="SH-M11- CDF" sheetId="54" r:id="rId16"/>
    <sheet name="SD-M11-" sheetId="47" r:id="rId17"/>
    <sheet name="SD-M11-CDF" sheetId="53" r:id="rId18"/>
    <sheet name="SH-M9- CDF" sheetId="56" r:id="rId19"/>
    <sheet name="SH-M9-" sheetId="44" r:id="rId20"/>
    <sheet name="SD-M9-" sheetId="46" r:id="rId21"/>
    <sheet name="SD-M9-CDF" sheetId="55" r:id="rId22"/>
    <sheet name="Statistiques" sheetId="32" r:id="rId23"/>
  </sheets>
  <definedNames>
    <definedName name="_xlnm._FilterDatabase" localSheetId="16" hidden="1">'SD-M11-'!$B$10:$Q$52</definedName>
    <definedName name="_xlnm._FilterDatabase" localSheetId="17" hidden="1">'SD-M11-CDF'!$B$10:$M$52</definedName>
    <definedName name="_xlnm._FilterDatabase" localSheetId="13" hidden="1">'SD-M13-'!$B$10:$W$52</definedName>
    <definedName name="_xlnm._FilterDatabase" localSheetId="10" hidden="1">'SD-M15-'!$B$10:$U$54</definedName>
    <definedName name="_xlnm._FilterDatabase" localSheetId="5" hidden="1">'SD-M20-'!$B$10:$Y$24</definedName>
    <definedName name="_xlnm._FilterDatabase" localSheetId="20" hidden="1">'SD-M9-'!$B$10:$Q$52</definedName>
    <definedName name="_xlnm._FilterDatabase" localSheetId="21" hidden="1">'SD-M9-CDF'!$B$10:$M$52</definedName>
    <definedName name="_xlnm._FilterDatabase" localSheetId="3" hidden="1">'SD-Senior'!$B$10:$R$33</definedName>
    <definedName name="_xlnm._FilterDatabase" localSheetId="1" hidden="1">'SD-Veterans'!$C$10:$O$33</definedName>
    <definedName name="_xlnm._FilterDatabase" localSheetId="11" hidden="1">'Selection-SD-M15'!$C$10:$U$54</definedName>
    <definedName name="_xlnm._FilterDatabase" localSheetId="9" hidden="1">'Selection-SH-M15'!$C$10:$U$54</definedName>
    <definedName name="_xlnm._FilterDatabase" localSheetId="14" hidden="1">'SH-M11-'!$B$10:$Q$52</definedName>
    <definedName name="_xlnm._FilterDatabase" localSheetId="15" hidden="1">'SH-M11- CDF'!$B$10:$M$52</definedName>
    <definedName name="_xlnm._FilterDatabase" localSheetId="12" hidden="1">'SH-M13-'!$B$10:$W$59</definedName>
    <definedName name="_xlnm._FilterDatabase" localSheetId="8" hidden="1">'SH-M15-'!$B$10:$T$54</definedName>
    <definedName name="_xlnm._FilterDatabase" localSheetId="4" hidden="1">'SH-M20-'!$B$10:$Y$27</definedName>
    <definedName name="_xlnm._FilterDatabase" localSheetId="19" hidden="1">'SH-M9-'!$A$10:$R$27</definedName>
    <definedName name="_xlnm._FilterDatabase" localSheetId="18" hidden="1">'SH-M9- CDF'!$A$10:$N$27</definedName>
    <definedName name="_xlnm._FilterDatabase" localSheetId="2" hidden="1">'SH-Senior'!$B$10:$T$34</definedName>
    <definedName name="_xlnm._FilterDatabase" localSheetId="0" hidden="1">'SH-Veterans'!$C$10:$Q$33</definedName>
    <definedName name="_xlnm.Print_Area" localSheetId="16">'SD-M11-'!$A$1:$R$54</definedName>
    <definedName name="_xlnm.Print_Area" localSheetId="17">'SD-M11-CDF'!$A$1:$R$54</definedName>
    <definedName name="_xlnm.Print_Area" localSheetId="13">'SD-M13-'!$A$1:$V$54</definedName>
    <definedName name="_xlnm.Print_Area" localSheetId="20">'SD-M9-'!$A$1:$R$54</definedName>
    <definedName name="_xlnm.Print_Area" localSheetId="21">'SD-M9-CDF'!$A$1:$R$54</definedName>
    <definedName name="_xlnm.Print_Area" localSheetId="14">'SH-M11-'!$A$1:$R$54</definedName>
    <definedName name="_xlnm.Print_Area" localSheetId="15">'SH-M11- CDF'!$A$1:$R$54</definedName>
    <definedName name="_xlnm.Print_Area" localSheetId="12">'SH-M13-'!$A$1:$V$61</definedName>
    <definedName name="_xlnm.Print_Area" localSheetId="19">'SH-M9-'!$A$1:$R$54</definedName>
    <definedName name="_xlnm.Print_Area" localSheetId="18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43" l="1"/>
  <c r="R13" i="43"/>
  <c r="R11" i="43"/>
  <c r="R16" i="43"/>
  <c r="R15" i="43"/>
  <c r="R14" i="43"/>
  <c r="R18" i="43"/>
  <c r="R19" i="43"/>
  <c r="R17" i="43"/>
  <c r="R20" i="43"/>
  <c r="R21" i="43"/>
  <c r="R22" i="43"/>
  <c r="R23" i="43"/>
  <c r="R24" i="43"/>
  <c r="R25" i="43"/>
  <c r="R26" i="43"/>
  <c r="R27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2" i="43"/>
  <c r="V30" i="29"/>
  <c r="R56" i="29"/>
  <c r="W55" i="29"/>
  <c r="V56" i="29"/>
  <c r="T56" i="29"/>
  <c r="P56" i="29"/>
  <c r="N56" i="29"/>
  <c r="L56" i="29"/>
  <c r="J56" i="29"/>
  <c r="H56" i="29"/>
  <c r="F56" i="29"/>
  <c r="W54" i="29"/>
  <c r="V52" i="29"/>
  <c r="T52" i="29"/>
  <c r="R52" i="29"/>
  <c r="P52" i="29"/>
  <c r="N52" i="29"/>
  <c r="L52" i="29"/>
  <c r="J52" i="29"/>
  <c r="H52" i="29"/>
  <c r="F52" i="29"/>
  <c r="W58" i="29"/>
  <c r="V47" i="29"/>
  <c r="T47" i="29"/>
  <c r="R47" i="29"/>
  <c r="P47" i="29"/>
  <c r="N47" i="29"/>
  <c r="L47" i="29"/>
  <c r="J47" i="29"/>
  <c r="H47" i="29"/>
  <c r="F47" i="29"/>
  <c r="W56" i="29"/>
  <c r="V41" i="29"/>
  <c r="T41" i="29"/>
  <c r="R41" i="29"/>
  <c r="P41" i="29"/>
  <c r="N41" i="29"/>
  <c r="L41" i="29"/>
  <c r="J41" i="29"/>
  <c r="H41" i="29"/>
  <c r="F41" i="29"/>
  <c r="R11" i="29"/>
  <c r="R15" i="29"/>
  <c r="R13" i="29"/>
  <c r="R17" i="29"/>
  <c r="R14" i="29"/>
  <c r="R18" i="29"/>
  <c r="R16" i="29"/>
  <c r="R20" i="29"/>
  <c r="R19" i="29"/>
  <c r="R23" i="29"/>
  <c r="R21" i="29"/>
  <c r="R26" i="29"/>
  <c r="R22" i="29"/>
  <c r="R27" i="29"/>
  <c r="R24" i="29"/>
  <c r="R29" i="29"/>
  <c r="R36" i="29"/>
  <c r="R30" i="29"/>
  <c r="R31" i="29"/>
  <c r="R25" i="29"/>
  <c r="R32" i="29"/>
  <c r="R33" i="29"/>
  <c r="R35" i="29"/>
  <c r="R38" i="29"/>
  <c r="R39" i="29"/>
  <c r="R40" i="29"/>
  <c r="R28" i="29"/>
  <c r="R42" i="29"/>
  <c r="R34" i="29"/>
  <c r="R43" i="29"/>
  <c r="R44" i="29"/>
  <c r="R45" i="29"/>
  <c r="R46" i="29"/>
  <c r="R48" i="29"/>
  <c r="R49" i="29"/>
  <c r="R50" i="29"/>
  <c r="R51" i="29"/>
  <c r="R53" i="29"/>
  <c r="R54" i="29"/>
  <c r="R57" i="29"/>
  <c r="R55" i="29"/>
  <c r="R59" i="29"/>
  <c r="R58" i="29"/>
  <c r="R37" i="29"/>
  <c r="R12" i="29"/>
  <c r="U15" i="31"/>
  <c r="U12" i="41"/>
  <c r="U11" i="41"/>
  <c r="U11" i="31"/>
  <c r="U9" i="31"/>
  <c r="J13" i="41"/>
  <c r="J11" i="41"/>
  <c r="U9" i="41"/>
  <c r="AC20" i="42"/>
  <c r="AC25" i="42"/>
  <c r="AC19" i="42"/>
  <c r="AC16" i="42"/>
  <c r="AC17" i="42"/>
  <c r="AC18" i="42"/>
  <c r="AC14" i="42"/>
  <c r="AC21" i="42"/>
  <c r="AC15" i="42"/>
  <c r="AC13" i="42"/>
  <c r="AC9" i="42"/>
  <c r="AA26" i="30"/>
  <c r="AA23" i="30"/>
  <c r="AA24" i="30"/>
  <c r="AA22" i="30"/>
  <c r="AA19" i="30"/>
  <c r="AA16" i="30"/>
  <c r="AA14" i="30"/>
  <c r="AA15" i="30"/>
  <c r="AA20" i="30"/>
  <c r="AA21" i="30"/>
  <c r="AA18" i="30"/>
  <c r="AA17" i="30"/>
  <c r="AA9" i="30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T23" i="19"/>
  <c r="A23" i="19" s="1"/>
  <c r="R23" i="19"/>
  <c r="P23" i="19"/>
  <c r="N23" i="19"/>
  <c r="L23" i="19"/>
  <c r="J23" i="19"/>
  <c r="H23" i="19"/>
  <c r="F23" i="19"/>
  <c r="S23" i="19" s="1"/>
  <c r="R32" i="19"/>
  <c r="P17" i="35"/>
  <c r="AB31" i="42"/>
  <c r="AB11" i="42"/>
  <c r="T11" i="31"/>
  <c r="Z37" i="30"/>
  <c r="P12" i="43"/>
  <c r="V35" i="29"/>
  <c r="V33" i="29"/>
  <c r="V19" i="29"/>
  <c r="V59" i="29"/>
  <c r="V23" i="29"/>
  <c r="V57" i="29"/>
  <c r="V22" i="29"/>
  <c r="V36" i="29"/>
  <c r="V21" i="29"/>
  <c r="V26" i="29"/>
  <c r="V53" i="29"/>
  <c r="V15" i="29"/>
  <c r="V39" i="29"/>
  <c r="V18" i="29"/>
  <c r="V25" i="29"/>
  <c r="V28" i="29"/>
  <c r="V11" i="29"/>
  <c r="V49" i="29"/>
  <c r="V45" i="29"/>
  <c r="V44" i="29"/>
  <c r="V32" i="29"/>
  <c r="V27" i="29"/>
  <c r="V34" i="29"/>
  <c r="V46" i="29"/>
  <c r="V17" i="29"/>
  <c r="V31" i="29"/>
  <c r="V50" i="29"/>
  <c r="V20" i="29"/>
  <c r="V12" i="29"/>
  <c r="V38" i="29"/>
  <c r="V40" i="29"/>
  <c r="V55" i="29"/>
  <c r="V58" i="29"/>
  <c r="V24" i="29"/>
  <c r="V16" i="29"/>
  <c r="V51" i="29"/>
  <c r="V48" i="29"/>
  <c r="V13" i="29"/>
  <c r="V54" i="29"/>
  <c r="V42" i="29"/>
  <c r="V43" i="29"/>
  <c r="V14" i="29"/>
  <c r="V37" i="29"/>
  <c r="V29" i="29"/>
  <c r="P57" i="29"/>
  <c r="P45" i="29"/>
  <c r="P26" i="29"/>
  <c r="U56" i="29" l="1"/>
  <c r="U41" i="29"/>
  <c r="U52" i="29"/>
  <c r="U47" i="29"/>
  <c r="K43" i="56"/>
  <c r="K44" i="56"/>
  <c r="K48" i="56"/>
  <c r="K51" i="56"/>
  <c r="I53" i="56"/>
  <c r="G53" i="56"/>
  <c r="E53" i="56"/>
  <c r="M52" i="56"/>
  <c r="A52" i="56" s="1"/>
  <c r="L52" i="56"/>
  <c r="J52" i="56"/>
  <c r="H52" i="56"/>
  <c r="F52" i="56"/>
  <c r="K52" i="56" s="1"/>
  <c r="M51" i="56"/>
  <c r="A51" i="56" s="1"/>
  <c r="L51" i="56"/>
  <c r="J51" i="56"/>
  <c r="H51" i="56"/>
  <c r="F51" i="56"/>
  <c r="M50" i="56"/>
  <c r="A50" i="56" s="1"/>
  <c r="L50" i="56"/>
  <c r="J50" i="56"/>
  <c r="K50" i="56" s="1"/>
  <c r="H50" i="56"/>
  <c r="F50" i="56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K45" i="56" s="1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K42" i="56" s="1"/>
  <c r="F42" i="56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K39" i="56" s="1"/>
  <c r="H39" i="56"/>
  <c r="F39" i="56"/>
  <c r="M30" i="56"/>
  <c r="A30" i="56" s="1"/>
  <c r="L30" i="56"/>
  <c r="J30" i="56"/>
  <c r="H30" i="56"/>
  <c r="F30" i="56"/>
  <c r="K30" i="56" s="1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F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K35" i="56" s="1"/>
  <c r="H35" i="56"/>
  <c r="F35" i="56"/>
  <c r="M28" i="56"/>
  <c r="A28" i="56" s="1"/>
  <c r="L28" i="56"/>
  <c r="J31" i="56"/>
  <c r="H31" i="56"/>
  <c r="F31" i="56"/>
  <c r="K31" i="56" s="1"/>
  <c r="M27" i="56"/>
  <c r="A27" i="56" s="1"/>
  <c r="L27" i="56"/>
  <c r="J33" i="56"/>
  <c r="H33" i="56"/>
  <c r="F33" i="56"/>
  <c r="K33" i="56" s="1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N37" i="56" l="1"/>
  <c r="N33" i="56"/>
  <c r="N11" i="56"/>
  <c r="N25" i="56"/>
  <c r="N20" i="56"/>
  <c r="N35" i="56"/>
  <c r="N41" i="56"/>
  <c r="K34" i="56"/>
  <c r="K25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19" i="55"/>
  <c r="K21" i="55"/>
  <c r="K27" i="55"/>
  <c r="K29" i="55"/>
  <c r="K35" i="55"/>
  <c r="K43" i="55"/>
  <c r="K51" i="55"/>
  <c r="I53" i="55"/>
  <c r="G53" i="55"/>
  <c r="E53" i="55"/>
  <c r="M52" i="55"/>
  <c r="A52" i="55" s="1"/>
  <c r="L52" i="55"/>
  <c r="J52" i="55"/>
  <c r="H52" i="55"/>
  <c r="F52" i="55"/>
  <c r="K52" i="55" s="1"/>
  <c r="M51" i="55"/>
  <c r="A51" i="55" s="1"/>
  <c r="L51" i="55"/>
  <c r="J51" i="55"/>
  <c r="H51" i="55"/>
  <c r="F51" i="55"/>
  <c r="M50" i="55"/>
  <c r="A50" i="55" s="1"/>
  <c r="L50" i="55"/>
  <c r="J50" i="55"/>
  <c r="H50" i="55"/>
  <c r="K50" i="55" s="1"/>
  <c r="F50" i="55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K45" i="55" s="1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M42" i="55"/>
  <c r="A42" i="55" s="1"/>
  <c r="L42" i="55"/>
  <c r="J42" i="55"/>
  <c r="H42" i="55"/>
  <c r="K42" i="55" s="1"/>
  <c r="F42" i="55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F38" i="55"/>
  <c r="K38" i="55" s="1"/>
  <c r="M37" i="55"/>
  <c r="A37" i="55" s="1"/>
  <c r="L37" i="55"/>
  <c r="J37" i="55"/>
  <c r="K37" i="55" s="1"/>
  <c r="H37" i="55"/>
  <c r="F37" i="55"/>
  <c r="M36" i="55"/>
  <c r="A36" i="55" s="1"/>
  <c r="L36" i="55"/>
  <c r="J36" i="55"/>
  <c r="H36" i="55"/>
  <c r="F36" i="55"/>
  <c r="K36" i="55" s="1"/>
  <c r="M35" i="55"/>
  <c r="A35" i="55" s="1"/>
  <c r="L35" i="55"/>
  <c r="J35" i="55"/>
  <c r="H35" i="55"/>
  <c r="F35" i="55"/>
  <c r="M34" i="55"/>
  <c r="A34" i="55" s="1"/>
  <c r="L34" i="55"/>
  <c r="J34" i="55"/>
  <c r="H34" i="55"/>
  <c r="K34" i="55" s="1"/>
  <c r="F34" i="55"/>
  <c r="M33" i="55"/>
  <c r="A33" i="55" s="1"/>
  <c r="L33" i="55"/>
  <c r="J33" i="55"/>
  <c r="H33" i="55"/>
  <c r="F33" i="55"/>
  <c r="K33" i="55" s="1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K31" i="55" s="1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M26" i="55"/>
  <c r="A26" i="55" s="1"/>
  <c r="L26" i="55"/>
  <c r="J26" i="55"/>
  <c r="K26" i="55" s="1"/>
  <c r="H26" i="55"/>
  <c r="F26" i="55"/>
  <c r="M25" i="55"/>
  <c r="A25" i="55" s="1"/>
  <c r="L25" i="55"/>
  <c r="J25" i="55"/>
  <c r="H25" i="55"/>
  <c r="F25" i="55"/>
  <c r="K25" i="55" s="1"/>
  <c r="M24" i="55"/>
  <c r="A24" i="55" s="1"/>
  <c r="L24" i="55"/>
  <c r="J24" i="55"/>
  <c r="H24" i="55"/>
  <c r="F24" i="55"/>
  <c r="K24" i="55" s="1"/>
  <c r="M23" i="55"/>
  <c r="A23" i="55" s="1"/>
  <c r="L23" i="55"/>
  <c r="J23" i="55"/>
  <c r="H23" i="55"/>
  <c r="F23" i="55"/>
  <c r="K23" i="55" s="1"/>
  <c r="M22" i="55"/>
  <c r="A22" i="55" s="1"/>
  <c r="L22" i="55"/>
  <c r="J22" i="55"/>
  <c r="H22" i="55"/>
  <c r="F22" i="55"/>
  <c r="K22" i="55" s="1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K20" i="55" s="1"/>
  <c r="M19" i="55"/>
  <c r="A19" i="55" s="1"/>
  <c r="L19" i="55"/>
  <c r="J19" i="55"/>
  <c r="H19" i="55"/>
  <c r="F19" i="55"/>
  <c r="M18" i="55"/>
  <c r="A18" i="55" s="1"/>
  <c r="L18" i="55"/>
  <c r="J18" i="55"/>
  <c r="K18" i="55" s="1"/>
  <c r="H18" i="55"/>
  <c r="F18" i="55"/>
  <c r="M16" i="55"/>
  <c r="A16" i="55" s="1"/>
  <c r="L16" i="55"/>
  <c r="J16" i="55"/>
  <c r="H16" i="55"/>
  <c r="F16" i="55"/>
  <c r="K16" i="55" s="1"/>
  <c r="M17" i="55"/>
  <c r="A17" i="55" s="1"/>
  <c r="L17" i="55"/>
  <c r="J17" i="55"/>
  <c r="H17" i="55"/>
  <c r="F17" i="55"/>
  <c r="K17" i="55" s="1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K13" i="55" s="1"/>
  <c r="M12" i="55"/>
  <c r="A12" i="55" s="1"/>
  <c r="L12" i="55"/>
  <c r="J12" i="55"/>
  <c r="H12" i="55"/>
  <c r="F12" i="55"/>
  <c r="K12" i="55" s="1"/>
  <c r="M11" i="55"/>
  <c r="A11" i="55" s="1"/>
  <c r="L11" i="55"/>
  <c r="J11" i="55"/>
  <c r="H11" i="55"/>
  <c r="F11" i="55"/>
  <c r="K11" i="55" s="1"/>
  <c r="G3" i="55"/>
  <c r="G2" i="55"/>
  <c r="K14" i="55" l="1"/>
  <c r="K15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K51" i="54"/>
  <c r="K52" i="54"/>
  <c r="I53" i="54"/>
  <c r="G53" i="54"/>
  <c r="E53" i="54"/>
  <c r="M52" i="54"/>
  <c r="L52" i="54"/>
  <c r="J52" i="54"/>
  <c r="H52" i="54"/>
  <c r="F52" i="54"/>
  <c r="A52" i="54"/>
  <c r="M51" i="54"/>
  <c r="A51" i="54" s="1"/>
  <c r="L51" i="54"/>
  <c r="J51" i="54"/>
  <c r="H51" i="54"/>
  <c r="F51" i="54"/>
  <c r="M50" i="54"/>
  <c r="A50" i="54" s="1"/>
  <c r="L50" i="54"/>
  <c r="N50" i="54" s="1"/>
  <c r="J50" i="54"/>
  <c r="H50" i="54"/>
  <c r="F50" i="54"/>
  <c r="K50" i="54" s="1"/>
  <c r="M49" i="54"/>
  <c r="L49" i="54"/>
  <c r="J49" i="54"/>
  <c r="H49" i="54"/>
  <c r="F49" i="54"/>
  <c r="K49" i="54" s="1"/>
  <c r="A49" i="54"/>
  <c r="M48" i="54"/>
  <c r="A48" i="54" s="1"/>
  <c r="L48" i="54"/>
  <c r="J48" i="54"/>
  <c r="H48" i="54"/>
  <c r="F48" i="54"/>
  <c r="K48" i="54" s="1"/>
  <c r="M47" i="54"/>
  <c r="A47" i="54" s="1"/>
  <c r="L47" i="54"/>
  <c r="J47" i="54"/>
  <c r="K47" i="54" s="1"/>
  <c r="H47" i="54"/>
  <c r="F47" i="54"/>
  <c r="M32" i="54"/>
  <c r="A32" i="54" s="1"/>
  <c r="L32" i="54"/>
  <c r="N32" i="54" s="1"/>
  <c r="J32" i="54"/>
  <c r="H32" i="54"/>
  <c r="F32" i="54"/>
  <c r="M34" i="54"/>
  <c r="A34" i="54" s="1"/>
  <c r="L34" i="54"/>
  <c r="J34" i="54"/>
  <c r="H34" i="54"/>
  <c r="F34" i="54"/>
  <c r="M46" i="54"/>
  <c r="A46" i="54" s="1"/>
  <c r="L46" i="54"/>
  <c r="J46" i="54"/>
  <c r="H46" i="54"/>
  <c r="F46" i="54"/>
  <c r="M45" i="54"/>
  <c r="A45" i="54" s="1"/>
  <c r="L45" i="54"/>
  <c r="J45" i="54"/>
  <c r="H45" i="54"/>
  <c r="F45" i="54"/>
  <c r="M44" i="54"/>
  <c r="A44" i="54" s="1"/>
  <c r="L44" i="54"/>
  <c r="N44" i="54" s="1"/>
  <c r="J44" i="54"/>
  <c r="H44" i="54"/>
  <c r="F44" i="54"/>
  <c r="M43" i="54"/>
  <c r="A43" i="54" s="1"/>
  <c r="L43" i="54"/>
  <c r="J43" i="54"/>
  <c r="H43" i="54"/>
  <c r="F43" i="54"/>
  <c r="M41" i="54"/>
  <c r="A41" i="54" s="1"/>
  <c r="L41" i="54"/>
  <c r="J41" i="54"/>
  <c r="H41" i="54"/>
  <c r="F41" i="54"/>
  <c r="M36" i="54"/>
  <c r="A36" i="54" s="1"/>
  <c r="L36" i="54"/>
  <c r="J36" i="54"/>
  <c r="H36" i="54"/>
  <c r="F36" i="54"/>
  <c r="M38" i="54"/>
  <c r="A38" i="54" s="1"/>
  <c r="L38" i="54"/>
  <c r="H38" i="54"/>
  <c r="F38" i="54"/>
  <c r="M42" i="54"/>
  <c r="A42" i="54" s="1"/>
  <c r="L42" i="54"/>
  <c r="J42" i="54"/>
  <c r="H42" i="54"/>
  <c r="F42" i="54"/>
  <c r="M33" i="54"/>
  <c r="A33" i="54" s="1"/>
  <c r="L33" i="54"/>
  <c r="J33" i="54"/>
  <c r="H33" i="54"/>
  <c r="F33" i="54"/>
  <c r="M37" i="54"/>
  <c r="A37" i="54" s="1"/>
  <c r="L37" i="54"/>
  <c r="J37" i="54"/>
  <c r="H37" i="54"/>
  <c r="F37" i="54"/>
  <c r="M31" i="54"/>
  <c r="A31" i="54" s="1"/>
  <c r="L31" i="54"/>
  <c r="J31" i="54"/>
  <c r="H31" i="54"/>
  <c r="F31" i="54"/>
  <c r="M30" i="54"/>
  <c r="A30" i="54" s="1"/>
  <c r="L30" i="54"/>
  <c r="J30" i="54"/>
  <c r="H30" i="54"/>
  <c r="F30" i="54"/>
  <c r="M40" i="54"/>
  <c r="A40" i="54" s="1"/>
  <c r="L40" i="54"/>
  <c r="J40" i="54"/>
  <c r="H40" i="54"/>
  <c r="F40" i="54"/>
  <c r="M35" i="54"/>
  <c r="A35" i="54" s="1"/>
  <c r="L35" i="54"/>
  <c r="J35" i="54"/>
  <c r="K35" i="54" s="1"/>
  <c r="H35" i="54"/>
  <c r="F35" i="54"/>
  <c r="M29" i="54"/>
  <c r="A29" i="54" s="1"/>
  <c r="L29" i="54"/>
  <c r="J29" i="54"/>
  <c r="H29" i="54"/>
  <c r="F29" i="54"/>
  <c r="M39" i="54"/>
  <c r="A39" i="54" s="1"/>
  <c r="L39" i="54"/>
  <c r="J39" i="54"/>
  <c r="H39" i="54"/>
  <c r="F39" i="54"/>
  <c r="M27" i="54"/>
  <c r="A27" i="54" s="1"/>
  <c r="L27" i="54"/>
  <c r="J27" i="54"/>
  <c r="H27" i="54"/>
  <c r="F27" i="54"/>
  <c r="M25" i="54"/>
  <c r="A25" i="54" s="1"/>
  <c r="L25" i="54"/>
  <c r="J25" i="54"/>
  <c r="H25" i="54"/>
  <c r="F25" i="54"/>
  <c r="K25" i="54" s="1"/>
  <c r="M26" i="54"/>
  <c r="A26" i="54" s="1"/>
  <c r="L26" i="54"/>
  <c r="J26" i="54"/>
  <c r="H26" i="54"/>
  <c r="F26" i="54"/>
  <c r="M24" i="54"/>
  <c r="A24" i="54" s="1"/>
  <c r="L24" i="54"/>
  <c r="J24" i="54"/>
  <c r="H24" i="54"/>
  <c r="F24" i="54"/>
  <c r="M28" i="54"/>
  <c r="A28" i="54" s="1"/>
  <c r="L28" i="54"/>
  <c r="J28" i="54"/>
  <c r="H28" i="54"/>
  <c r="F28" i="54"/>
  <c r="M22" i="54"/>
  <c r="A22" i="54" s="1"/>
  <c r="L22" i="54"/>
  <c r="J22" i="54"/>
  <c r="K22" i="54" s="1"/>
  <c r="H22" i="54"/>
  <c r="F22" i="54"/>
  <c r="M18" i="54"/>
  <c r="L18" i="54"/>
  <c r="J18" i="54"/>
  <c r="H18" i="54"/>
  <c r="F18" i="54"/>
  <c r="A18" i="54"/>
  <c r="M17" i="54"/>
  <c r="A17" i="54" s="1"/>
  <c r="L17" i="54"/>
  <c r="J17" i="54"/>
  <c r="H17" i="54"/>
  <c r="F17" i="54"/>
  <c r="M23" i="54"/>
  <c r="A23" i="54" s="1"/>
  <c r="L23" i="54"/>
  <c r="J23" i="54"/>
  <c r="H23" i="54"/>
  <c r="F23" i="54"/>
  <c r="M21" i="54"/>
  <c r="A21" i="54" s="1"/>
  <c r="L21" i="54"/>
  <c r="J21" i="54"/>
  <c r="H21" i="54"/>
  <c r="F21" i="54"/>
  <c r="M14" i="54"/>
  <c r="A14" i="54" s="1"/>
  <c r="L14" i="54"/>
  <c r="J14" i="54"/>
  <c r="H14" i="54"/>
  <c r="F14" i="54"/>
  <c r="M19" i="54"/>
  <c r="A19" i="54" s="1"/>
  <c r="L19" i="54"/>
  <c r="J19" i="54"/>
  <c r="H19" i="54"/>
  <c r="F19" i="54"/>
  <c r="M20" i="54"/>
  <c r="A20" i="54" s="1"/>
  <c r="L20" i="54"/>
  <c r="J20" i="54"/>
  <c r="H20" i="54"/>
  <c r="F20" i="54"/>
  <c r="M16" i="54"/>
  <c r="A16" i="54" s="1"/>
  <c r="L16" i="54"/>
  <c r="N16" i="54" s="1"/>
  <c r="J16" i="54"/>
  <c r="H16" i="54"/>
  <c r="F16" i="54"/>
  <c r="M12" i="54"/>
  <c r="A12" i="54" s="1"/>
  <c r="L12" i="54"/>
  <c r="J12" i="54"/>
  <c r="H12" i="54"/>
  <c r="F12" i="54"/>
  <c r="M15" i="54"/>
  <c r="A15" i="54" s="1"/>
  <c r="L15" i="54"/>
  <c r="J15" i="54"/>
  <c r="H15" i="54"/>
  <c r="F15" i="54"/>
  <c r="M13" i="54"/>
  <c r="A13" i="54" s="1"/>
  <c r="L13" i="54"/>
  <c r="J13" i="54"/>
  <c r="H13" i="54"/>
  <c r="F13" i="54"/>
  <c r="M11" i="54"/>
  <c r="A11" i="54" s="1"/>
  <c r="L11" i="54"/>
  <c r="J11" i="54"/>
  <c r="H11" i="54"/>
  <c r="F11" i="54"/>
  <c r="G3" i="54"/>
  <c r="N42" i="54" s="1"/>
  <c r="G2" i="54"/>
  <c r="N26" i="45"/>
  <c r="K13" i="54" l="1"/>
  <c r="N15" i="54"/>
  <c r="N17" i="54"/>
  <c r="K36" i="54"/>
  <c r="K34" i="54"/>
  <c r="K37" i="54"/>
  <c r="K32" i="54"/>
  <c r="K45" i="54"/>
  <c r="K16" i="54"/>
  <c r="K19" i="54"/>
  <c r="K40" i="54"/>
  <c r="K11" i="54"/>
  <c r="K27" i="54"/>
  <c r="K30" i="54"/>
  <c r="K42" i="54"/>
  <c r="K20" i="54"/>
  <c r="K29" i="54"/>
  <c r="K41" i="54"/>
  <c r="K28" i="54"/>
  <c r="K38" i="54"/>
  <c r="K44" i="54"/>
  <c r="K33" i="54"/>
  <c r="K39" i="54"/>
  <c r="K46" i="54"/>
  <c r="K14" i="54"/>
  <c r="K26" i="54"/>
  <c r="K43" i="54"/>
  <c r="K23" i="54"/>
  <c r="K17" i="54"/>
  <c r="K24" i="54"/>
  <c r="K12" i="54"/>
  <c r="K21" i="54"/>
  <c r="K31" i="54"/>
  <c r="K15" i="54"/>
  <c r="K18" i="54"/>
  <c r="N11" i="54"/>
  <c r="N20" i="54"/>
  <c r="N21" i="54"/>
  <c r="N48" i="54"/>
  <c r="N12" i="54"/>
  <c r="N18" i="54"/>
  <c r="N29" i="54"/>
  <c r="N41" i="54"/>
  <c r="E54" i="54"/>
  <c r="N13" i="54"/>
  <c r="N23" i="54"/>
  <c r="N43" i="54"/>
  <c r="N34" i="54"/>
  <c r="N49" i="54"/>
  <c r="G54" i="54"/>
  <c r="N38" i="54"/>
  <c r="N45" i="54"/>
  <c r="N46" i="54"/>
  <c r="N47" i="54"/>
  <c r="N51" i="54"/>
  <c r="N52" i="54"/>
  <c r="N19" i="54"/>
  <c r="N26" i="54"/>
  <c r="N31" i="54"/>
  <c r="N36" i="54"/>
  <c r="N14" i="54"/>
  <c r="N28" i="54"/>
  <c r="N27" i="54"/>
  <c r="N40" i="54"/>
  <c r="N33" i="54"/>
  <c r="I54" i="54"/>
  <c r="N22" i="54"/>
  <c r="N24" i="54"/>
  <c r="N25" i="54"/>
  <c r="N39" i="54"/>
  <c r="N35" i="54"/>
  <c r="N30" i="54"/>
  <c r="N37" i="54"/>
  <c r="K33" i="53"/>
  <c r="K34" i="53"/>
  <c r="K39" i="53"/>
  <c r="K42" i="53"/>
  <c r="K49" i="53"/>
  <c r="K50" i="53"/>
  <c r="I53" i="53"/>
  <c r="G53" i="53"/>
  <c r="E53" i="53"/>
  <c r="M52" i="53"/>
  <c r="A52" i="53" s="1"/>
  <c r="L52" i="53"/>
  <c r="J52" i="53"/>
  <c r="H52" i="53"/>
  <c r="F52" i="53"/>
  <c r="K52" i="53" s="1"/>
  <c r="M51" i="53"/>
  <c r="L51" i="53"/>
  <c r="J51" i="53"/>
  <c r="H51" i="53"/>
  <c r="F51" i="53"/>
  <c r="K51" i="53" s="1"/>
  <c r="A51" i="53"/>
  <c r="M50" i="53"/>
  <c r="L50" i="53"/>
  <c r="J50" i="53"/>
  <c r="H50" i="53"/>
  <c r="F50" i="53"/>
  <c r="A50" i="53"/>
  <c r="M49" i="53"/>
  <c r="A49" i="53" s="1"/>
  <c r="L49" i="53"/>
  <c r="J49" i="53"/>
  <c r="H49" i="53"/>
  <c r="F49" i="53"/>
  <c r="M48" i="53"/>
  <c r="A48" i="53" s="1"/>
  <c r="L48" i="53"/>
  <c r="N48" i="53" s="1"/>
  <c r="J48" i="53"/>
  <c r="H48" i="53"/>
  <c r="K48" i="53" s="1"/>
  <c r="F48" i="53"/>
  <c r="M47" i="53"/>
  <c r="L47" i="53"/>
  <c r="J47" i="53"/>
  <c r="H47" i="53"/>
  <c r="F47" i="53"/>
  <c r="K47" i="53" s="1"/>
  <c r="A47" i="53"/>
  <c r="M46" i="53"/>
  <c r="L46" i="53"/>
  <c r="J46" i="53"/>
  <c r="H46" i="53"/>
  <c r="F46" i="53"/>
  <c r="K46" i="53" s="1"/>
  <c r="A46" i="53"/>
  <c r="M45" i="53"/>
  <c r="A45" i="53" s="1"/>
  <c r="L45" i="53"/>
  <c r="J45" i="53"/>
  <c r="H45" i="53"/>
  <c r="F45" i="53"/>
  <c r="K45" i="53" s="1"/>
  <c r="M44" i="53"/>
  <c r="A44" i="53" s="1"/>
  <c r="L44" i="53"/>
  <c r="N44" i="53" s="1"/>
  <c r="J44" i="53"/>
  <c r="H44" i="53"/>
  <c r="F44" i="53"/>
  <c r="K44" i="53" s="1"/>
  <c r="M43" i="53"/>
  <c r="L43" i="53"/>
  <c r="J43" i="53"/>
  <c r="H43" i="53"/>
  <c r="F43" i="53"/>
  <c r="K43" i="53" s="1"/>
  <c r="A43" i="53"/>
  <c r="M42" i="53"/>
  <c r="A42" i="53" s="1"/>
  <c r="L42" i="53"/>
  <c r="J42" i="53"/>
  <c r="H42" i="53"/>
  <c r="F42" i="53"/>
  <c r="M41" i="53"/>
  <c r="A41" i="53" s="1"/>
  <c r="L41" i="53"/>
  <c r="J41" i="53"/>
  <c r="H41" i="53"/>
  <c r="K41" i="53" s="1"/>
  <c r="F41" i="53"/>
  <c r="M40" i="53"/>
  <c r="A40" i="53" s="1"/>
  <c r="L40" i="53"/>
  <c r="J40" i="53"/>
  <c r="H40" i="53"/>
  <c r="F40" i="53"/>
  <c r="K40" i="53" s="1"/>
  <c r="M39" i="53"/>
  <c r="A39" i="53" s="1"/>
  <c r="L39" i="53"/>
  <c r="J39" i="53"/>
  <c r="H39" i="53"/>
  <c r="F39" i="53"/>
  <c r="M38" i="53"/>
  <c r="A38" i="53" s="1"/>
  <c r="L38" i="53"/>
  <c r="J38" i="53"/>
  <c r="H38" i="53"/>
  <c r="K38" i="53" s="1"/>
  <c r="F38" i="53"/>
  <c r="M37" i="53"/>
  <c r="A37" i="53" s="1"/>
  <c r="L37" i="53"/>
  <c r="J37" i="53"/>
  <c r="H37" i="53"/>
  <c r="F37" i="53"/>
  <c r="K37" i="53" s="1"/>
  <c r="M36" i="53"/>
  <c r="A36" i="53" s="1"/>
  <c r="L36" i="53"/>
  <c r="J36" i="53"/>
  <c r="H36" i="53"/>
  <c r="F36" i="53"/>
  <c r="K36" i="53" s="1"/>
  <c r="M35" i="53"/>
  <c r="A35" i="53" s="1"/>
  <c r="L35" i="53"/>
  <c r="J35" i="53"/>
  <c r="H35" i="53"/>
  <c r="F35" i="53"/>
  <c r="K35" i="53" s="1"/>
  <c r="M34" i="53"/>
  <c r="L34" i="53"/>
  <c r="J34" i="53"/>
  <c r="H34" i="53"/>
  <c r="F34" i="53"/>
  <c r="A34" i="53"/>
  <c r="M33" i="53"/>
  <c r="A33" i="53" s="1"/>
  <c r="L33" i="53"/>
  <c r="J33" i="53"/>
  <c r="H33" i="53"/>
  <c r="F33" i="53"/>
  <c r="M32" i="53"/>
  <c r="A32" i="53" s="1"/>
  <c r="L32" i="53"/>
  <c r="N32" i="53" s="1"/>
  <c r="J32" i="53"/>
  <c r="K32" i="53" s="1"/>
  <c r="H32" i="53"/>
  <c r="F32" i="53"/>
  <c r="M31" i="53"/>
  <c r="L31" i="53"/>
  <c r="J31" i="53"/>
  <c r="H31" i="53"/>
  <c r="F31" i="53"/>
  <c r="K31" i="53" s="1"/>
  <c r="A31" i="53"/>
  <c r="M30" i="53"/>
  <c r="L30" i="53"/>
  <c r="J30" i="53"/>
  <c r="H30" i="53"/>
  <c r="F30" i="53"/>
  <c r="K30" i="53" s="1"/>
  <c r="A30" i="53"/>
  <c r="M29" i="53"/>
  <c r="A29" i="53" s="1"/>
  <c r="L29" i="53"/>
  <c r="J29" i="53"/>
  <c r="H29" i="53"/>
  <c r="F29" i="53"/>
  <c r="K29" i="53" s="1"/>
  <c r="M28" i="53"/>
  <c r="A28" i="53" s="1"/>
  <c r="L28" i="53"/>
  <c r="N28" i="53" s="1"/>
  <c r="J28" i="53"/>
  <c r="H28" i="53"/>
  <c r="F28" i="53"/>
  <c r="K28" i="53" s="1"/>
  <c r="M27" i="53"/>
  <c r="L27" i="53"/>
  <c r="J27" i="53"/>
  <c r="H27" i="53"/>
  <c r="F27" i="53"/>
  <c r="A27" i="53"/>
  <c r="M25" i="53"/>
  <c r="A25" i="53" s="1"/>
  <c r="L25" i="53"/>
  <c r="J25" i="53"/>
  <c r="H25" i="53"/>
  <c r="F25" i="53"/>
  <c r="K25" i="53" s="1"/>
  <c r="M24" i="53"/>
  <c r="A24" i="53" s="1"/>
  <c r="L24" i="53"/>
  <c r="J24" i="53"/>
  <c r="H24" i="53"/>
  <c r="K24" i="53" s="1"/>
  <c r="F24" i="53"/>
  <c r="M23" i="53"/>
  <c r="A23" i="53" s="1"/>
  <c r="L23" i="53"/>
  <c r="J23" i="53"/>
  <c r="H23" i="53"/>
  <c r="F23" i="53"/>
  <c r="K23" i="53" s="1"/>
  <c r="M26" i="53"/>
  <c r="A26" i="53" s="1"/>
  <c r="L26" i="53"/>
  <c r="J26" i="53"/>
  <c r="H26" i="53"/>
  <c r="F26" i="53"/>
  <c r="K26" i="53" s="1"/>
  <c r="M21" i="53"/>
  <c r="A21" i="53" s="1"/>
  <c r="L21" i="53"/>
  <c r="J21" i="53"/>
  <c r="H21" i="53"/>
  <c r="K21" i="53" s="1"/>
  <c r="F21" i="53"/>
  <c r="M22" i="53"/>
  <c r="A22" i="53" s="1"/>
  <c r="L22" i="53"/>
  <c r="J22" i="53"/>
  <c r="H22" i="53"/>
  <c r="F22" i="53"/>
  <c r="K22" i="53" s="1"/>
  <c r="M19" i="53"/>
  <c r="A19" i="53" s="1"/>
  <c r="L19" i="53"/>
  <c r="N19" i="53" s="1"/>
  <c r="J19" i="53"/>
  <c r="H19" i="53"/>
  <c r="F19" i="53"/>
  <c r="K19" i="53" s="1"/>
  <c r="M20" i="53"/>
  <c r="A20" i="53" s="1"/>
  <c r="L20" i="53"/>
  <c r="J20" i="53"/>
  <c r="H20" i="53"/>
  <c r="F20" i="53"/>
  <c r="K20" i="53" s="1"/>
  <c r="M16" i="53"/>
  <c r="A16" i="53" s="1"/>
  <c r="L16" i="53"/>
  <c r="J16" i="53"/>
  <c r="H16" i="53"/>
  <c r="F16" i="53"/>
  <c r="M18" i="53"/>
  <c r="A18" i="53" s="1"/>
  <c r="L18" i="53"/>
  <c r="H18" i="53"/>
  <c r="F18" i="53"/>
  <c r="M14" i="53"/>
  <c r="A14" i="53" s="1"/>
  <c r="L14" i="53"/>
  <c r="J14" i="53"/>
  <c r="H14" i="53"/>
  <c r="F14" i="53"/>
  <c r="K14" i="53" s="1"/>
  <c r="M15" i="53"/>
  <c r="A15" i="53" s="1"/>
  <c r="L15" i="53"/>
  <c r="J15" i="53"/>
  <c r="H15" i="53"/>
  <c r="F15" i="53"/>
  <c r="M13" i="53"/>
  <c r="A13" i="53" s="1"/>
  <c r="L13" i="53"/>
  <c r="J13" i="53"/>
  <c r="H13" i="53"/>
  <c r="F13" i="53"/>
  <c r="M17" i="53"/>
  <c r="A17" i="53" s="1"/>
  <c r="L17" i="53"/>
  <c r="J17" i="53"/>
  <c r="H17" i="53"/>
  <c r="F17" i="53"/>
  <c r="K17" i="53" s="1"/>
  <c r="M12" i="53"/>
  <c r="A12" i="53" s="1"/>
  <c r="L12" i="53"/>
  <c r="J12" i="53"/>
  <c r="H12" i="53"/>
  <c r="F12" i="53"/>
  <c r="K12" i="53" s="1"/>
  <c r="M11" i="53"/>
  <c r="A11" i="53" s="1"/>
  <c r="L11" i="53"/>
  <c r="J11" i="53"/>
  <c r="H11" i="53"/>
  <c r="F11" i="53"/>
  <c r="G3" i="53"/>
  <c r="N46" i="53" s="1"/>
  <c r="G2" i="53"/>
  <c r="K13" i="53" l="1"/>
  <c r="K27" i="53"/>
  <c r="K15" i="53"/>
  <c r="N23" i="53"/>
  <c r="K11" i="53"/>
  <c r="K16" i="53"/>
  <c r="N40" i="53"/>
  <c r="N15" i="53"/>
  <c r="K18" i="53"/>
  <c r="N36" i="53"/>
  <c r="N12" i="53"/>
  <c r="N17" i="53"/>
  <c r="N11" i="53"/>
  <c r="N18" i="53"/>
  <c r="N16" i="53"/>
  <c r="N22" i="53"/>
  <c r="N21" i="53"/>
  <c r="N24" i="53"/>
  <c r="N25" i="53"/>
  <c r="N29" i="53"/>
  <c r="N30" i="53"/>
  <c r="N33" i="53"/>
  <c r="N34" i="53"/>
  <c r="N37" i="53"/>
  <c r="N38" i="53"/>
  <c r="N41" i="53"/>
  <c r="N42" i="53"/>
  <c r="N45" i="53"/>
  <c r="N49" i="53"/>
  <c r="N51" i="53"/>
  <c r="E54" i="53"/>
  <c r="N20" i="53"/>
  <c r="N26" i="53"/>
  <c r="N27" i="53"/>
  <c r="N31" i="53"/>
  <c r="N35" i="53"/>
  <c r="N39" i="53"/>
  <c r="N43" i="53"/>
  <c r="N47" i="53"/>
  <c r="N50" i="53"/>
  <c r="G54" i="53"/>
  <c r="N13" i="53"/>
  <c r="N14" i="53"/>
  <c r="N52" i="53"/>
  <c r="I54" i="53"/>
  <c r="P12" i="19"/>
  <c r="P13" i="19"/>
  <c r="P14" i="19"/>
  <c r="P16" i="19"/>
  <c r="P18" i="19"/>
  <c r="P19" i="19"/>
  <c r="P20" i="19"/>
  <c r="P21" i="19"/>
  <c r="P22" i="19"/>
  <c r="P15" i="19"/>
  <c r="P25" i="19"/>
  <c r="P27" i="19"/>
  <c r="P17" i="19"/>
  <c r="P24" i="19"/>
  <c r="P26" i="19"/>
  <c r="P29" i="19"/>
  <c r="P30" i="19"/>
  <c r="P32" i="19"/>
  <c r="P33" i="19"/>
  <c r="P34" i="19"/>
  <c r="P31" i="19"/>
  <c r="P28" i="19"/>
  <c r="P11" i="19"/>
  <c r="N11" i="19"/>
  <c r="O35" i="19"/>
  <c r="N14" i="35"/>
  <c r="N13" i="35"/>
  <c r="N12" i="35"/>
  <c r="N15" i="35"/>
  <c r="N17" i="35"/>
  <c r="N16" i="35"/>
  <c r="N19" i="35"/>
  <c r="N18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1" i="35"/>
  <c r="M34" i="35"/>
  <c r="V18" i="31"/>
  <c r="R11" i="41"/>
  <c r="T11" i="48"/>
  <c r="P30" i="48"/>
  <c r="P14" i="48"/>
  <c r="Q31" i="51"/>
  <c r="Q11" i="51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4" i="25"/>
  <c r="U18" i="25"/>
  <c r="P32" i="25"/>
  <c r="P49" i="25"/>
  <c r="P37" i="25"/>
  <c r="P18" i="25"/>
  <c r="P52" i="25"/>
  <c r="P25" i="25"/>
  <c r="P11" i="25"/>
  <c r="P38" i="25"/>
  <c r="P21" i="25"/>
  <c r="P34" i="25"/>
  <c r="P13" i="25"/>
  <c r="P50" i="25"/>
  <c r="P29" i="25"/>
  <c r="P41" i="25"/>
  <c r="P12" i="25"/>
  <c r="P53" i="25"/>
  <c r="P16" i="25"/>
  <c r="P30" i="25"/>
  <c r="P45" i="25"/>
  <c r="P36" i="25"/>
  <c r="P33" i="25"/>
  <c r="P44" i="25"/>
  <c r="P23" i="25"/>
  <c r="P19" i="25"/>
  <c r="P26" i="25"/>
  <c r="P46" i="25"/>
  <c r="P20" i="25"/>
  <c r="P35" i="25"/>
  <c r="P24" i="25"/>
  <c r="P47" i="25"/>
  <c r="P48" i="25"/>
  <c r="P51" i="25"/>
  <c r="P43" i="25"/>
  <c r="P22" i="25"/>
  <c r="P40" i="25"/>
  <c r="P28" i="25"/>
  <c r="P15" i="25"/>
  <c r="P42" i="25"/>
  <c r="P27" i="25"/>
  <c r="P31" i="25"/>
  <c r="P14" i="25"/>
  <c r="P17" i="25"/>
  <c r="P54" i="25"/>
  <c r="P39" i="25"/>
  <c r="Q11" i="52"/>
  <c r="Q13" i="52"/>
  <c r="Q15" i="52"/>
  <c r="Q16" i="52"/>
  <c r="Q14" i="52"/>
  <c r="Q17" i="52"/>
  <c r="Q18" i="52"/>
  <c r="Q23" i="52"/>
  <c r="Q24" i="52"/>
  <c r="Q19" i="52"/>
  <c r="Q25" i="52"/>
  <c r="Q20" i="52"/>
  <c r="Q22" i="52"/>
  <c r="Q21" i="52"/>
  <c r="Q28" i="52"/>
  <c r="Q27" i="52"/>
  <c r="Q31" i="52"/>
  <c r="Q29" i="52"/>
  <c r="Q30" i="52"/>
  <c r="Q33" i="52"/>
  <c r="Q26" i="52"/>
  <c r="Q34" i="52"/>
  <c r="Q35" i="52"/>
  <c r="Q38" i="52"/>
  <c r="Q36" i="52"/>
  <c r="Q39" i="52"/>
  <c r="Q40" i="52"/>
  <c r="Q41" i="52"/>
  <c r="Q42" i="52"/>
  <c r="Q32" i="52"/>
  <c r="Q43" i="52"/>
  <c r="Q44" i="52"/>
  <c r="Q45" i="52"/>
  <c r="Q46" i="52"/>
  <c r="Q47" i="52"/>
  <c r="Q49" i="52"/>
  <c r="Q50" i="52"/>
  <c r="Q48" i="52"/>
  <c r="Q51" i="52"/>
  <c r="Q52" i="52"/>
  <c r="Q53" i="52"/>
  <c r="Q37" i="52"/>
  <c r="Q54" i="52"/>
  <c r="Q12" i="52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28" i="30"/>
  <c r="X45" i="30"/>
  <c r="X30" i="30"/>
  <c r="X26" i="30"/>
  <c r="X12" i="30"/>
  <c r="X20" i="30"/>
  <c r="X23" i="30"/>
  <c r="X38" i="30"/>
  <c r="X36" i="30"/>
  <c r="X19" i="30"/>
  <c r="X22" i="30"/>
  <c r="X40" i="30"/>
  <c r="X21" i="30"/>
  <c r="X18" i="30"/>
  <c r="X14" i="30"/>
  <c r="X42" i="30"/>
  <c r="X41" i="30"/>
  <c r="X25" i="30"/>
  <c r="X16" i="30"/>
  <c r="X34" i="30"/>
  <c r="X39" i="30"/>
  <c r="X32" i="30"/>
  <c r="X27" i="30"/>
  <c r="X29" i="30"/>
  <c r="X17" i="30"/>
  <c r="X43" i="30"/>
  <c r="X13" i="30"/>
  <c r="X11" i="30"/>
  <c r="X44" i="30"/>
  <c r="X31" i="30"/>
  <c r="X35" i="30"/>
  <c r="X15" i="30"/>
  <c r="X33" i="30"/>
  <c r="X37" i="30"/>
  <c r="X24" i="30"/>
  <c r="Z22" i="42"/>
  <c r="Z23" i="42"/>
  <c r="Z21" i="42"/>
  <c r="Z18" i="42"/>
  <c r="Z20" i="42"/>
  <c r="Z19" i="42"/>
  <c r="Z17" i="42"/>
  <c r="Z16" i="42"/>
  <c r="Z13" i="42"/>
  <c r="Z15" i="42"/>
  <c r="Z14" i="42"/>
  <c r="Z12" i="42"/>
  <c r="Z11" i="42"/>
  <c r="V16" i="52"/>
  <c r="V53" i="52"/>
  <c r="O40" i="52"/>
  <c r="M11" i="52"/>
  <c r="M13" i="52"/>
  <c r="M15" i="52"/>
  <c r="M17" i="52"/>
  <c r="M16" i="52"/>
  <c r="M18" i="52"/>
  <c r="M14" i="52"/>
  <c r="M23" i="52"/>
  <c r="M24" i="52"/>
  <c r="M25" i="52"/>
  <c r="M20" i="52"/>
  <c r="M19" i="52"/>
  <c r="M22" i="52"/>
  <c r="M21" i="52"/>
  <c r="M28" i="52"/>
  <c r="M27" i="52"/>
  <c r="M31" i="52"/>
  <c r="M29" i="52"/>
  <c r="M30" i="52"/>
  <c r="M33" i="52"/>
  <c r="M26" i="52"/>
  <c r="M34" i="52"/>
  <c r="M35" i="52"/>
  <c r="M38" i="52"/>
  <c r="M36" i="52"/>
  <c r="M39" i="52"/>
  <c r="M41" i="52"/>
  <c r="M40" i="52"/>
  <c r="M42" i="52"/>
  <c r="M32" i="52"/>
  <c r="M43" i="52"/>
  <c r="M44" i="52"/>
  <c r="M45" i="52"/>
  <c r="M46" i="52"/>
  <c r="M47" i="52"/>
  <c r="M49" i="52"/>
  <c r="M50" i="52"/>
  <c r="M48" i="52"/>
  <c r="M51" i="52"/>
  <c r="M52" i="52"/>
  <c r="M53" i="52"/>
  <c r="M37" i="52"/>
  <c r="M54" i="52"/>
  <c r="M12" i="52"/>
  <c r="T12" i="52" s="1"/>
  <c r="L55" i="52"/>
  <c r="N55" i="51"/>
  <c r="O12" i="51"/>
  <c r="O16" i="51"/>
  <c r="O17" i="51"/>
  <c r="O15" i="51"/>
  <c r="O13" i="51"/>
  <c r="O14" i="51"/>
  <c r="O18" i="51"/>
  <c r="O20" i="51"/>
  <c r="O19" i="51"/>
  <c r="O21" i="51"/>
  <c r="O24" i="51"/>
  <c r="O22" i="51"/>
  <c r="O23" i="51"/>
  <c r="O25" i="51"/>
  <c r="O26" i="51"/>
  <c r="O27" i="51"/>
  <c r="O29" i="51"/>
  <c r="O28" i="51"/>
  <c r="O31" i="51"/>
  <c r="O32" i="51"/>
  <c r="O34" i="51"/>
  <c r="O33" i="51"/>
  <c r="O30" i="51"/>
  <c r="O35" i="51"/>
  <c r="O36" i="51"/>
  <c r="O11" i="51"/>
  <c r="M11" i="51"/>
  <c r="N34" i="19"/>
  <c r="A16" i="35"/>
  <c r="R14" i="35"/>
  <c r="A14" i="35" s="1"/>
  <c r="R15" i="35"/>
  <c r="A15" i="35" s="1"/>
  <c r="R17" i="35"/>
  <c r="A17" i="35" s="1"/>
  <c r="R16" i="35"/>
  <c r="V44" i="30"/>
  <c r="X29" i="42"/>
  <c r="X32" i="42"/>
  <c r="X14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P26" i="31"/>
  <c r="Y26" i="31"/>
  <c r="A26" i="31" s="1"/>
  <c r="V26" i="31"/>
  <c r="T26" i="31"/>
  <c r="R26" i="31"/>
  <c r="N26" i="31"/>
  <c r="L26" i="31"/>
  <c r="J26" i="31"/>
  <c r="H26" i="31"/>
  <c r="F26" i="31"/>
  <c r="N11" i="31"/>
  <c r="N12" i="31"/>
  <c r="N14" i="31"/>
  <c r="N13" i="31"/>
  <c r="N17" i="31"/>
  <c r="N18" i="31"/>
  <c r="N16" i="31"/>
  <c r="N15" i="31"/>
  <c r="N21" i="31"/>
  <c r="N22" i="31"/>
  <c r="N23" i="31"/>
  <c r="N20" i="31"/>
  <c r="N25" i="31"/>
  <c r="N19" i="31"/>
  <c r="N27" i="31"/>
  <c r="Y19" i="31"/>
  <c r="A19" i="31" s="1"/>
  <c r="V19" i="31"/>
  <c r="T19" i="31"/>
  <c r="R19" i="31"/>
  <c r="P19" i="31"/>
  <c r="L19" i="31"/>
  <c r="J19" i="31"/>
  <c r="H19" i="31"/>
  <c r="F19" i="31"/>
  <c r="P12" i="31"/>
  <c r="P14" i="31"/>
  <c r="P13" i="31"/>
  <c r="P17" i="31"/>
  <c r="P18" i="31"/>
  <c r="P16" i="31"/>
  <c r="P15" i="31"/>
  <c r="P21" i="31"/>
  <c r="P22" i="31"/>
  <c r="P23" i="31"/>
  <c r="P20" i="31"/>
  <c r="P24" i="31"/>
  <c r="P25" i="31"/>
  <c r="P27" i="31"/>
  <c r="P15" i="41"/>
  <c r="V30" i="52"/>
  <c r="V49" i="52"/>
  <c r="V18" i="52"/>
  <c r="W18" i="52" s="1"/>
  <c r="V36" i="52"/>
  <c r="V22" i="52"/>
  <c r="V11" i="52"/>
  <c r="V43" i="52"/>
  <c r="V21" i="52"/>
  <c r="V54" i="52"/>
  <c r="V33" i="52"/>
  <c r="V12" i="52"/>
  <c r="V17" i="52"/>
  <c r="V41" i="52"/>
  <c r="V50" i="52"/>
  <c r="V13" i="52"/>
  <c r="V28" i="52"/>
  <c r="V52" i="52"/>
  <c r="V37" i="52"/>
  <c r="V32" i="52"/>
  <c r="V45" i="52"/>
  <c r="V35" i="52"/>
  <c r="V44" i="52"/>
  <c r="V24" i="52"/>
  <c r="V48" i="52"/>
  <c r="V47" i="52"/>
  <c r="V19" i="52"/>
  <c r="V25" i="52"/>
  <c r="V46" i="52"/>
  <c r="V34" i="52"/>
  <c r="V20" i="52"/>
  <c r="V26" i="52"/>
  <c r="V51" i="52"/>
  <c r="V42" i="52"/>
  <c r="V23" i="52"/>
  <c r="V39" i="52"/>
  <c r="V31" i="52"/>
  <c r="V14" i="52"/>
  <c r="V40" i="52"/>
  <c r="V27" i="52"/>
  <c r="V29" i="52"/>
  <c r="V15" i="52"/>
  <c r="V38" i="52"/>
  <c r="R55" i="52"/>
  <c r="P55" i="52"/>
  <c r="N55" i="52"/>
  <c r="J55" i="52"/>
  <c r="H55" i="52"/>
  <c r="F55" i="52"/>
  <c r="U53" i="52"/>
  <c r="B53" i="52" s="1"/>
  <c r="S53" i="52"/>
  <c r="O53" i="52"/>
  <c r="K53" i="52"/>
  <c r="I53" i="52"/>
  <c r="G53" i="52"/>
  <c r="U52" i="52"/>
  <c r="B52" i="52" s="1"/>
  <c r="S52" i="52"/>
  <c r="O52" i="52"/>
  <c r="K52" i="52"/>
  <c r="I52" i="52"/>
  <c r="G52" i="52"/>
  <c r="U54" i="52"/>
  <c r="B54" i="52" s="1"/>
  <c r="S54" i="52"/>
  <c r="O54" i="52"/>
  <c r="K54" i="52"/>
  <c r="I54" i="52"/>
  <c r="G54" i="52"/>
  <c r="T54" i="52" s="1"/>
  <c r="U51" i="52"/>
  <c r="B51" i="52" s="1"/>
  <c r="S51" i="52"/>
  <c r="O51" i="52"/>
  <c r="K51" i="52"/>
  <c r="I51" i="52"/>
  <c r="G51" i="52"/>
  <c r="T51" i="52" s="1"/>
  <c r="U48" i="52"/>
  <c r="B48" i="52" s="1"/>
  <c r="S48" i="52"/>
  <c r="O48" i="52"/>
  <c r="K48" i="52"/>
  <c r="I48" i="52"/>
  <c r="G48" i="52"/>
  <c r="U50" i="52"/>
  <c r="B50" i="52" s="1"/>
  <c r="S50" i="52"/>
  <c r="O50" i="52"/>
  <c r="K50" i="52"/>
  <c r="I50" i="52"/>
  <c r="G50" i="52"/>
  <c r="U49" i="52"/>
  <c r="B49" i="52" s="1"/>
  <c r="S49" i="52"/>
  <c r="O49" i="52"/>
  <c r="K49" i="52"/>
  <c r="I49" i="52"/>
  <c r="G49" i="52"/>
  <c r="U47" i="52"/>
  <c r="B47" i="52" s="1"/>
  <c r="S47" i="52"/>
  <c r="O47" i="52"/>
  <c r="K47" i="52"/>
  <c r="I47" i="52"/>
  <c r="G47" i="52"/>
  <c r="U46" i="52"/>
  <c r="B46" i="52" s="1"/>
  <c r="S46" i="52"/>
  <c r="O46" i="52"/>
  <c r="K46" i="52"/>
  <c r="I46" i="52"/>
  <c r="G46" i="52"/>
  <c r="U45" i="52"/>
  <c r="B45" i="52" s="1"/>
  <c r="S45" i="52"/>
  <c r="O45" i="52"/>
  <c r="K45" i="52"/>
  <c r="I45" i="52"/>
  <c r="G45" i="52"/>
  <c r="U44" i="52"/>
  <c r="B44" i="52" s="1"/>
  <c r="S44" i="52"/>
  <c r="O44" i="52"/>
  <c r="K44" i="52"/>
  <c r="I44" i="52"/>
  <c r="G44" i="52"/>
  <c r="T44" i="52" s="1"/>
  <c r="U42" i="52"/>
  <c r="B42" i="52" s="1"/>
  <c r="S42" i="52"/>
  <c r="O42" i="52"/>
  <c r="K42" i="52"/>
  <c r="I42" i="52"/>
  <c r="G42" i="52"/>
  <c r="U40" i="52"/>
  <c r="B40" i="52" s="1"/>
  <c r="S40" i="52"/>
  <c r="K40" i="52"/>
  <c r="I40" i="52"/>
  <c r="G40" i="52"/>
  <c r="U41" i="52"/>
  <c r="B41" i="52" s="1"/>
  <c r="S41" i="52"/>
  <c r="O41" i="52"/>
  <c r="K41" i="52"/>
  <c r="I41" i="52"/>
  <c r="G41" i="52"/>
  <c r="U39" i="52"/>
  <c r="B39" i="52" s="1"/>
  <c r="S39" i="52"/>
  <c r="O39" i="52"/>
  <c r="K39" i="52"/>
  <c r="I39" i="52"/>
  <c r="G39" i="52"/>
  <c r="U36" i="52"/>
  <c r="B36" i="52" s="1"/>
  <c r="S36" i="52"/>
  <c r="O36" i="52"/>
  <c r="K36" i="52"/>
  <c r="I36" i="52"/>
  <c r="G36" i="52"/>
  <c r="U37" i="52"/>
  <c r="B37" i="52" s="1"/>
  <c r="S37" i="52"/>
  <c r="O37" i="52"/>
  <c r="K37" i="52"/>
  <c r="I37" i="52"/>
  <c r="G37" i="52"/>
  <c r="U38" i="52"/>
  <c r="B38" i="52" s="1"/>
  <c r="S38" i="52"/>
  <c r="O38" i="52"/>
  <c r="K38" i="52"/>
  <c r="I38" i="52"/>
  <c r="G38" i="52"/>
  <c r="U32" i="52"/>
  <c r="B32" i="52" s="1"/>
  <c r="S32" i="52"/>
  <c r="O32" i="52"/>
  <c r="K32" i="52"/>
  <c r="I32" i="52"/>
  <c r="G32" i="52"/>
  <c r="U43" i="52"/>
  <c r="B43" i="52" s="1"/>
  <c r="S43" i="52"/>
  <c r="O43" i="52"/>
  <c r="K43" i="52"/>
  <c r="I43" i="52"/>
  <c r="G43" i="52"/>
  <c r="U35" i="52"/>
  <c r="B35" i="52" s="1"/>
  <c r="S35" i="52"/>
  <c r="O35" i="52"/>
  <c r="K35" i="52"/>
  <c r="I35" i="52"/>
  <c r="G35" i="52"/>
  <c r="U34" i="52"/>
  <c r="B34" i="52" s="1"/>
  <c r="S34" i="52"/>
  <c r="O34" i="52"/>
  <c r="K34" i="52"/>
  <c r="I34" i="52"/>
  <c r="G34" i="52"/>
  <c r="U33" i="52"/>
  <c r="B33" i="52" s="1"/>
  <c r="S33" i="52"/>
  <c r="O33" i="52"/>
  <c r="K33" i="52"/>
  <c r="I33" i="52"/>
  <c r="G33" i="52"/>
  <c r="U30" i="52"/>
  <c r="B30" i="52" s="1"/>
  <c r="S30" i="52"/>
  <c r="O30" i="52"/>
  <c r="K30" i="52"/>
  <c r="I30" i="52"/>
  <c r="G30" i="52"/>
  <c r="U29" i="52"/>
  <c r="B29" i="52" s="1"/>
  <c r="S29" i="52"/>
  <c r="O29" i="52"/>
  <c r="K29" i="52"/>
  <c r="I29" i="52"/>
  <c r="G29" i="52"/>
  <c r="U26" i="52"/>
  <c r="B26" i="52" s="1"/>
  <c r="S26" i="52"/>
  <c r="O26" i="52"/>
  <c r="K26" i="52"/>
  <c r="I26" i="52"/>
  <c r="G26" i="52"/>
  <c r="U27" i="52"/>
  <c r="B27" i="52" s="1"/>
  <c r="S27" i="52"/>
  <c r="O27" i="52"/>
  <c r="K27" i="52"/>
  <c r="I27" i="52"/>
  <c r="G27" i="52"/>
  <c r="U22" i="52"/>
  <c r="B22" i="52" s="1"/>
  <c r="S22" i="52"/>
  <c r="O22" i="52"/>
  <c r="K22" i="52"/>
  <c r="I22" i="52"/>
  <c r="G22" i="52"/>
  <c r="U28" i="52"/>
  <c r="B28" i="52" s="1"/>
  <c r="S28" i="52"/>
  <c r="O28" i="52"/>
  <c r="K28" i="52"/>
  <c r="I28" i="52"/>
  <c r="G28" i="52"/>
  <c r="T28" i="52" s="1"/>
  <c r="U20" i="52"/>
  <c r="B20" i="52" s="1"/>
  <c r="S20" i="52"/>
  <c r="O20" i="52"/>
  <c r="K20" i="52"/>
  <c r="I20" i="52"/>
  <c r="G20" i="52"/>
  <c r="U21" i="52"/>
  <c r="B21" i="52" s="1"/>
  <c r="S21" i="52"/>
  <c r="O21" i="52"/>
  <c r="K21" i="52"/>
  <c r="I21" i="52"/>
  <c r="G21" i="52"/>
  <c r="U31" i="52"/>
  <c r="B31" i="52" s="1"/>
  <c r="S31" i="52"/>
  <c r="O31" i="52"/>
  <c r="K31" i="52"/>
  <c r="I31" i="52"/>
  <c r="G31" i="52"/>
  <c r="T31" i="52" s="1"/>
  <c r="U25" i="52"/>
  <c r="B25" i="52" s="1"/>
  <c r="S25" i="52"/>
  <c r="O25" i="52"/>
  <c r="K25" i="52"/>
  <c r="I25" i="52"/>
  <c r="G25" i="52"/>
  <c r="U19" i="52"/>
  <c r="B19" i="52" s="1"/>
  <c r="S19" i="52"/>
  <c r="O19" i="52"/>
  <c r="K19" i="52"/>
  <c r="I19" i="52"/>
  <c r="G19" i="52"/>
  <c r="U14" i="52"/>
  <c r="B14" i="52" s="1"/>
  <c r="S14" i="52"/>
  <c r="O14" i="52"/>
  <c r="K14" i="52"/>
  <c r="I14" i="52"/>
  <c r="G14" i="52"/>
  <c r="T14" i="52" s="1"/>
  <c r="U24" i="52"/>
  <c r="B24" i="52" s="1"/>
  <c r="S24" i="52"/>
  <c r="O24" i="52"/>
  <c r="K24" i="52"/>
  <c r="I24" i="52"/>
  <c r="G24" i="52"/>
  <c r="T24" i="52" s="1"/>
  <c r="U23" i="52"/>
  <c r="B23" i="52" s="1"/>
  <c r="S23" i="52"/>
  <c r="O23" i="52"/>
  <c r="K23" i="52"/>
  <c r="I23" i="52"/>
  <c r="G23" i="52"/>
  <c r="U18" i="52"/>
  <c r="B18" i="52" s="1"/>
  <c r="S18" i="52"/>
  <c r="O18" i="52"/>
  <c r="K18" i="52"/>
  <c r="I18" i="52"/>
  <c r="G18" i="52"/>
  <c r="U17" i="52"/>
  <c r="B17" i="52" s="1"/>
  <c r="S17" i="52"/>
  <c r="O17" i="52"/>
  <c r="K17" i="52"/>
  <c r="I17" i="52"/>
  <c r="G17" i="52"/>
  <c r="U15" i="52"/>
  <c r="B15" i="52" s="1"/>
  <c r="S15" i="52"/>
  <c r="O15" i="52"/>
  <c r="K15" i="52"/>
  <c r="I15" i="52"/>
  <c r="G15" i="52"/>
  <c r="U16" i="52"/>
  <c r="B16" i="52" s="1"/>
  <c r="S16" i="52"/>
  <c r="O16" i="52"/>
  <c r="K16" i="52"/>
  <c r="I16" i="52"/>
  <c r="G16" i="52"/>
  <c r="U13" i="52"/>
  <c r="B13" i="52" s="1"/>
  <c r="S13" i="52"/>
  <c r="O13" i="52"/>
  <c r="K13" i="52"/>
  <c r="I13" i="52"/>
  <c r="G13" i="52"/>
  <c r="U11" i="52"/>
  <c r="B11" i="52" s="1"/>
  <c r="S11" i="52"/>
  <c r="O11" i="52"/>
  <c r="K11" i="52"/>
  <c r="I11" i="52"/>
  <c r="G11" i="52"/>
  <c r="U12" i="52"/>
  <c r="B12" i="52" s="1"/>
  <c r="S12" i="52"/>
  <c r="O12" i="52"/>
  <c r="K12" i="52"/>
  <c r="I12" i="52"/>
  <c r="G12" i="52"/>
  <c r="H3" i="52"/>
  <c r="H2" i="52"/>
  <c r="T41" i="25"/>
  <c r="A41" i="25" s="1"/>
  <c r="R41" i="25"/>
  <c r="N41" i="25"/>
  <c r="L41" i="25"/>
  <c r="J41" i="25"/>
  <c r="H41" i="25"/>
  <c r="F41" i="25"/>
  <c r="T45" i="25"/>
  <c r="A45" i="25" s="1"/>
  <c r="R45" i="25"/>
  <c r="N45" i="25"/>
  <c r="L45" i="25"/>
  <c r="J45" i="25"/>
  <c r="H45" i="25"/>
  <c r="F45" i="25"/>
  <c r="N53" i="25"/>
  <c r="R55" i="51"/>
  <c r="P55" i="51"/>
  <c r="L55" i="51"/>
  <c r="J55" i="51"/>
  <c r="H55" i="51"/>
  <c r="F55" i="51"/>
  <c r="V54" i="51"/>
  <c r="U54" i="51"/>
  <c r="B54" i="51" s="1"/>
  <c r="S54" i="51"/>
  <c r="Q54" i="51"/>
  <c r="M54" i="51"/>
  <c r="K54" i="51"/>
  <c r="I54" i="51"/>
  <c r="G54" i="51"/>
  <c r="V53" i="51"/>
  <c r="U53" i="51"/>
  <c r="B53" i="51" s="1"/>
  <c r="S53" i="51"/>
  <c r="Q53" i="51"/>
  <c r="M53" i="51"/>
  <c r="K53" i="51"/>
  <c r="I53" i="51"/>
  <c r="G53" i="51"/>
  <c r="V52" i="51"/>
  <c r="U52" i="51"/>
  <c r="B52" i="51" s="1"/>
  <c r="S52" i="51"/>
  <c r="Q52" i="51"/>
  <c r="M52" i="51"/>
  <c r="K52" i="51"/>
  <c r="I52" i="51"/>
  <c r="G52" i="51"/>
  <c r="V51" i="51"/>
  <c r="U51" i="51"/>
  <c r="B51" i="51" s="1"/>
  <c r="S51" i="51"/>
  <c r="Q51" i="51"/>
  <c r="M51" i="51"/>
  <c r="K51" i="51"/>
  <c r="I51" i="51"/>
  <c r="G51" i="51"/>
  <c r="V50" i="51"/>
  <c r="U50" i="51"/>
  <c r="B50" i="51" s="1"/>
  <c r="S50" i="51"/>
  <c r="Q50" i="51"/>
  <c r="M50" i="51"/>
  <c r="K50" i="51"/>
  <c r="I50" i="51"/>
  <c r="G50" i="51"/>
  <c r="V49" i="51"/>
  <c r="U49" i="51"/>
  <c r="B49" i="51" s="1"/>
  <c r="S49" i="51"/>
  <c r="Q49" i="51"/>
  <c r="T49" i="51" s="1"/>
  <c r="M49" i="51"/>
  <c r="K49" i="51"/>
  <c r="I49" i="51"/>
  <c r="G49" i="51"/>
  <c r="V48" i="51"/>
  <c r="U48" i="51"/>
  <c r="B48" i="51" s="1"/>
  <c r="S48" i="51"/>
  <c r="Q48" i="51"/>
  <c r="M48" i="51"/>
  <c r="K48" i="51"/>
  <c r="I48" i="51"/>
  <c r="G48" i="51"/>
  <c r="V47" i="51"/>
  <c r="U47" i="51"/>
  <c r="B47" i="51" s="1"/>
  <c r="S47" i="51"/>
  <c r="Q47" i="51"/>
  <c r="M47" i="51"/>
  <c r="K47" i="51"/>
  <c r="I47" i="51"/>
  <c r="G47" i="51"/>
  <c r="V46" i="51"/>
  <c r="U46" i="51"/>
  <c r="B46" i="51" s="1"/>
  <c r="S46" i="51"/>
  <c r="Q46" i="51"/>
  <c r="M46" i="51"/>
  <c r="K46" i="51"/>
  <c r="I46" i="51"/>
  <c r="G46" i="51"/>
  <c r="V45" i="51"/>
  <c r="U45" i="51"/>
  <c r="B45" i="51" s="1"/>
  <c r="S45" i="51"/>
  <c r="Q45" i="51"/>
  <c r="M45" i="51"/>
  <c r="K45" i="51"/>
  <c r="I45" i="51"/>
  <c r="G45" i="51"/>
  <c r="V44" i="51"/>
  <c r="U44" i="51"/>
  <c r="B44" i="51" s="1"/>
  <c r="S44" i="51"/>
  <c r="Q44" i="51"/>
  <c r="M44" i="51"/>
  <c r="K44" i="51"/>
  <c r="I44" i="51"/>
  <c r="G44" i="51"/>
  <c r="V43" i="51"/>
  <c r="U43" i="51"/>
  <c r="B43" i="51" s="1"/>
  <c r="S43" i="51"/>
  <c r="Q43" i="51"/>
  <c r="M43" i="51"/>
  <c r="K43" i="51"/>
  <c r="I43" i="51"/>
  <c r="G43" i="51"/>
  <c r="V42" i="51"/>
  <c r="U42" i="51"/>
  <c r="B42" i="51" s="1"/>
  <c r="S42" i="51"/>
  <c r="Q42" i="51"/>
  <c r="M42" i="51"/>
  <c r="K42" i="51"/>
  <c r="I42" i="51"/>
  <c r="G42" i="51"/>
  <c r="V41" i="51"/>
  <c r="U41" i="51"/>
  <c r="B41" i="51" s="1"/>
  <c r="S41" i="51"/>
  <c r="Q41" i="51"/>
  <c r="M41" i="51"/>
  <c r="K41" i="51"/>
  <c r="I41" i="51"/>
  <c r="G41" i="51"/>
  <c r="V40" i="51"/>
  <c r="U40" i="51"/>
  <c r="B40" i="51" s="1"/>
  <c r="S40" i="51"/>
  <c r="Q40" i="51"/>
  <c r="M40" i="51"/>
  <c r="K40" i="51"/>
  <c r="I40" i="51"/>
  <c r="G40" i="51"/>
  <c r="V39" i="51"/>
  <c r="U39" i="51"/>
  <c r="B39" i="51" s="1"/>
  <c r="S39" i="51"/>
  <c r="Q39" i="51"/>
  <c r="M39" i="51"/>
  <c r="K39" i="51"/>
  <c r="I39" i="51"/>
  <c r="G39" i="51"/>
  <c r="V38" i="51"/>
  <c r="U38" i="51"/>
  <c r="B38" i="51" s="1"/>
  <c r="S38" i="51"/>
  <c r="Q38" i="51"/>
  <c r="M38" i="51"/>
  <c r="K38" i="51"/>
  <c r="I38" i="51"/>
  <c r="G38" i="51"/>
  <c r="V37" i="51"/>
  <c r="U37" i="51"/>
  <c r="B37" i="51" s="1"/>
  <c r="S37" i="51"/>
  <c r="Q37" i="51"/>
  <c r="M37" i="51"/>
  <c r="K37" i="51"/>
  <c r="I37" i="51"/>
  <c r="G37" i="51"/>
  <c r="V35" i="51"/>
  <c r="U35" i="51"/>
  <c r="B35" i="51" s="1"/>
  <c r="S35" i="51"/>
  <c r="Q35" i="51"/>
  <c r="M35" i="51"/>
  <c r="K35" i="51"/>
  <c r="I35" i="51"/>
  <c r="G35" i="51"/>
  <c r="V36" i="51"/>
  <c r="U36" i="51"/>
  <c r="B36" i="51" s="1"/>
  <c r="S36" i="51"/>
  <c r="Q36" i="51"/>
  <c r="M36" i="51"/>
  <c r="K36" i="51"/>
  <c r="I36" i="51"/>
  <c r="G36" i="51"/>
  <c r="V33" i="51"/>
  <c r="U33" i="51"/>
  <c r="B33" i="51" s="1"/>
  <c r="S33" i="51"/>
  <c r="Q33" i="51"/>
  <c r="M33" i="51"/>
  <c r="K33" i="51"/>
  <c r="I33" i="51"/>
  <c r="G33" i="51"/>
  <c r="V34" i="51"/>
  <c r="U34" i="51"/>
  <c r="B34" i="51" s="1"/>
  <c r="S34" i="51"/>
  <c r="Q34" i="51"/>
  <c r="M34" i="51"/>
  <c r="K34" i="51"/>
  <c r="I34" i="51"/>
  <c r="G34" i="51"/>
  <c r="V30" i="51"/>
  <c r="U30" i="51"/>
  <c r="B30" i="51" s="1"/>
  <c r="S30" i="51"/>
  <c r="Q30" i="51"/>
  <c r="M30" i="51"/>
  <c r="K30" i="51"/>
  <c r="G30" i="51"/>
  <c r="V32" i="51"/>
  <c r="U32" i="51"/>
  <c r="B32" i="51" s="1"/>
  <c r="S32" i="51"/>
  <c r="Q32" i="51"/>
  <c r="M32" i="51"/>
  <c r="K32" i="51"/>
  <c r="I32" i="51"/>
  <c r="G32" i="51"/>
  <c r="V31" i="51"/>
  <c r="U31" i="51"/>
  <c r="B31" i="51" s="1"/>
  <c r="S31" i="51"/>
  <c r="M31" i="51"/>
  <c r="K31" i="51"/>
  <c r="I31" i="51"/>
  <c r="G31" i="51"/>
  <c r="V28" i="51"/>
  <c r="U28" i="51"/>
  <c r="B28" i="51" s="1"/>
  <c r="S28" i="51"/>
  <c r="Q28" i="51"/>
  <c r="M28" i="51"/>
  <c r="K28" i="51"/>
  <c r="I28" i="51"/>
  <c r="G28" i="51"/>
  <c r="V29" i="51"/>
  <c r="U29" i="51"/>
  <c r="B29" i="51" s="1"/>
  <c r="S29" i="51"/>
  <c r="Q29" i="51"/>
  <c r="M29" i="51"/>
  <c r="K29" i="51"/>
  <c r="I29" i="51"/>
  <c r="G29" i="51"/>
  <c r="V27" i="51"/>
  <c r="U27" i="51"/>
  <c r="B27" i="51" s="1"/>
  <c r="S27" i="51"/>
  <c r="Q27" i="51"/>
  <c r="M27" i="51"/>
  <c r="K27" i="51"/>
  <c r="I27" i="51"/>
  <c r="G27" i="51"/>
  <c r="V26" i="51"/>
  <c r="U26" i="51"/>
  <c r="B26" i="51" s="1"/>
  <c r="S26" i="51"/>
  <c r="Q26" i="51"/>
  <c r="M26" i="51"/>
  <c r="K26" i="51"/>
  <c r="I26" i="51"/>
  <c r="G26" i="51"/>
  <c r="V25" i="51"/>
  <c r="U25" i="51"/>
  <c r="B25" i="51" s="1"/>
  <c r="S25" i="51"/>
  <c r="Q25" i="51"/>
  <c r="M25" i="51"/>
  <c r="K25" i="51"/>
  <c r="I25" i="51"/>
  <c r="G25" i="51"/>
  <c r="V23" i="51"/>
  <c r="U23" i="51"/>
  <c r="B23" i="51" s="1"/>
  <c r="S23" i="51"/>
  <c r="Q23" i="51"/>
  <c r="M23" i="51"/>
  <c r="K23" i="51"/>
  <c r="I23" i="51"/>
  <c r="G23" i="51"/>
  <c r="V22" i="51"/>
  <c r="U22" i="51"/>
  <c r="B22" i="51" s="1"/>
  <c r="S22" i="51"/>
  <c r="Q22" i="51"/>
  <c r="M22" i="51"/>
  <c r="K22" i="51"/>
  <c r="I22" i="51"/>
  <c r="G22" i="51"/>
  <c r="V24" i="51"/>
  <c r="U24" i="51"/>
  <c r="B24" i="51" s="1"/>
  <c r="S24" i="51"/>
  <c r="Q24" i="51"/>
  <c r="M24" i="51"/>
  <c r="K24" i="51"/>
  <c r="I24" i="51"/>
  <c r="G24" i="51"/>
  <c r="V21" i="51"/>
  <c r="U21" i="51"/>
  <c r="B21" i="51" s="1"/>
  <c r="S21" i="51"/>
  <c r="Q21" i="51"/>
  <c r="M21" i="51"/>
  <c r="K21" i="51"/>
  <c r="I21" i="51"/>
  <c r="G21" i="51"/>
  <c r="V20" i="51"/>
  <c r="U20" i="51"/>
  <c r="B20" i="51" s="1"/>
  <c r="S20" i="51"/>
  <c r="Q20" i="51"/>
  <c r="M20" i="51"/>
  <c r="K20" i="51"/>
  <c r="I20" i="51"/>
  <c r="G20" i="51"/>
  <c r="V18" i="51"/>
  <c r="U18" i="51"/>
  <c r="B18" i="51" s="1"/>
  <c r="S18" i="51"/>
  <c r="Q18" i="51"/>
  <c r="M18" i="51"/>
  <c r="K18" i="51"/>
  <c r="I18" i="51"/>
  <c r="G18" i="51"/>
  <c r="V19" i="51"/>
  <c r="U19" i="51"/>
  <c r="B19" i="51" s="1"/>
  <c r="S19" i="51"/>
  <c r="Q19" i="51"/>
  <c r="M19" i="51"/>
  <c r="K19" i="51"/>
  <c r="I19" i="51"/>
  <c r="G19" i="51"/>
  <c r="V14" i="51"/>
  <c r="U14" i="51"/>
  <c r="B14" i="51" s="1"/>
  <c r="S14" i="51"/>
  <c r="Q14" i="51"/>
  <c r="M14" i="51"/>
  <c r="K14" i="51"/>
  <c r="I14" i="51"/>
  <c r="G14" i="51"/>
  <c r="V13" i="51"/>
  <c r="U13" i="51"/>
  <c r="B13" i="51" s="1"/>
  <c r="S13" i="51"/>
  <c r="Q13" i="51"/>
  <c r="M13" i="51"/>
  <c r="K13" i="51"/>
  <c r="I13" i="51"/>
  <c r="G13" i="51"/>
  <c r="V15" i="51"/>
  <c r="U15" i="51"/>
  <c r="B15" i="51" s="1"/>
  <c r="S15" i="51"/>
  <c r="Q15" i="51"/>
  <c r="M15" i="51"/>
  <c r="K15" i="51"/>
  <c r="I15" i="51"/>
  <c r="G15" i="51"/>
  <c r="V17" i="51"/>
  <c r="U17" i="51"/>
  <c r="B17" i="51" s="1"/>
  <c r="S17" i="51"/>
  <c r="Q17" i="51"/>
  <c r="M17" i="51"/>
  <c r="K17" i="51"/>
  <c r="I17" i="51"/>
  <c r="G17" i="51"/>
  <c r="V16" i="51"/>
  <c r="U16" i="51"/>
  <c r="B16" i="51" s="1"/>
  <c r="S16" i="51"/>
  <c r="Q16" i="51"/>
  <c r="M16" i="51"/>
  <c r="K16" i="51"/>
  <c r="I16" i="51"/>
  <c r="G16" i="51"/>
  <c r="V12" i="51"/>
  <c r="U12" i="51"/>
  <c r="B12" i="51" s="1"/>
  <c r="S12" i="51"/>
  <c r="Q12" i="51"/>
  <c r="M12" i="51"/>
  <c r="K12" i="51"/>
  <c r="I12" i="51"/>
  <c r="G12" i="51"/>
  <c r="V11" i="51"/>
  <c r="U11" i="51"/>
  <c r="B11" i="51" s="1"/>
  <c r="S11" i="51"/>
  <c r="K11" i="51"/>
  <c r="I11" i="51"/>
  <c r="G11" i="51"/>
  <c r="H3" i="51"/>
  <c r="H2" i="51"/>
  <c r="T20" i="48"/>
  <c r="T22" i="48"/>
  <c r="T23" i="48"/>
  <c r="T21" i="48"/>
  <c r="T17" i="48"/>
  <c r="T32" i="48"/>
  <c r="T18" i="48"/>
  <c r="T30" i="48"/>
  <c r="T26" i="48"/>
  <c r="T29" i="48"/>
  <c r="T31" i="48"/>
  <c r="T28" i="48"/>
  <c r="T24" i="48"/>
  <c r="T36" i="48"/>
  <c r="T33" i="48"/>
  <c r="T16" i="48"/>
  <c r="T27" i="48"/>
  <c r="T12" i="48"/>
  <c r="T25" i="48"/>
  <c r="T13" i="48"/>
  <c r="T35" i="48"/>
  <c r="T14" i="48"/>
  <c r="T19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34" i="48"/>
  <c r="T15" i="48"/>
  <c r="N34" i="48"/>
  <c r="L39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24" i="30"/>
  <c r="V27" i="42"/>
  <c r="R44" i="30"/>
  <c r="R45" i="30"/>
  <c r="R30" i="30"/>
  <c r="R26" i="30"/>
  <c r="R12" i="30"/>
  <c r="R20" i="30"/>
  <c r="R23" i="30"/>
  <c r="R19" i="30"/>
  <c r="R22" i="30"/>
  <c r="R40" i="30"/>
  <c r="R21" i="30"/>
  <c r="R18" i="30"/>
  <c r="R14" i="30"/>
  <c r="R28" i="30"/>
  <c r="R25" i="30"/>
  <c r="R16" i="30"/>
  <c r="R34" i="30"/>
  <c r="R39" i="30"/>
  <c r="R32" i="30"/>
  <c r="R27" i="30"/>
  <c r="R29" i="30"/>
  <c r="R17" i="30"/>
  <c r="R13" i="30"/>
  <c r="R11" i="30"/>
  <c r="R31" i="30"/>
  <c r="R35" i="30"/>
  <c r="R15" i="30"/>
  <c r="R33" i="30"/>
  <c r="R37" i="30"/>
  <c r="R36" i="30"/>
  <c r="R38" i="30"/>
  <c r="R41" i="30"/>
  <c r="R43" i="30"/>
  <c r="R42" i="30"/>
  <c r="R24" i="30"/>
  <c r="T32" i="42"/>
  <c r="T15" i="42"/>
  <c r="T12" i="42"/>
  <c r="T16" i="42"/>
  <c r="T14" i="42"/>
  <c r="T19" i="42"/>
  <c r="T18" i="42"/>
  <c r="T23" i="42"/>
  <c r="T20" i="42"/>
  <c r="T24" i="42"/>
  <c r="T17" i="42"/>
  <c r="T13" i="42"/>
  <c r="T21" i="42"/>
  <c r="T22" i="42"/>
  <c r="T28" i="42"/>
  <c r="T27" i="42"/>
  <c r="T29" i="42"/>
  <c r="T25" i="42"/>
  <c r="T30" i="42"/>
  <c r="T26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T11" i="42"/>
  <c r="N20" i="41"/>
  <c r="L24" i="19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11" i="34"/>
  <c r="L30" i="45"/>
  <c r="L32" i="45"/>
  <c r="L21" i="45"/>
  <c r="L29" i="47"/>
  <c r="P13" i="47"/>
  <c r="P12" i="47"/>
  <c r="P14" i="47"/>
  <c r="P16" i="47"/>
  <c r="R16" i="47" s="1"/>
  <c r="P15" i="47"/>
  <c r="P21" i="47"/>
  <c r="P18" i="47"/>
  <c r="P23" i="47"/>
  <c r="P17" i="47"/>
  <c r="P24" i="47"/>
  <c r="P22" i="47"/>
  <c r="P19" i="47"/>
  <c r="R19" i="47" s="1"/>
  <c r="P20" i="47"/>
  <c r="P25" i="47"/>
  <c r="P26" i="47"/>
  <c r="P27" i="47"/>
  <c r="P28" i="47"/>
  <c r="P29" i="47"/>
  <c r="P30" i="47"/>
  <c r="P31" i="47"/>
  <c r="P32" i="47"/>
  <c r="P33" i="47"/>
  <c r="R33" i="47" s="1"/>
  <c r="P34" i="47"/>
  <c r="P35" i="47"/>
  <c r="P36" i="47"/>
  <c r="P37" i="47"/>
  <c r="P38" i="47"/>
  <c r="P39" i="47"/>
  <c r="R39" i="47" s="1"/>
  <c r="P40" i="47"/>
  <c r="P41" i="47"/>
  <c r="P42" i="47"/>
  <c r="P43" i="47"/>
  <c r="P44" i="47"/>
  <c r="P45" i="47"/>
  <c r="P46" i="47"/>
  <c r="P47" i="47"/>
  <c r="R47" i="47" s="1"/>
  <c r="P48" i="47"/>
  <c r="P49" i="47"/>
  <c r="P50" i="47"/>
  <c r="R50" i="47" s="1"/>
  <c r="P51" i="47"/>
  <c r="P52" i="47"/>
  <c r="P11" i="47"/>
  <c r="L36" i="47"/>
  <c r="P13" i="44"/>
  <c r="L28" i="44"/>
  <c r="L36" i="44"/>
  <c r="L16" i="46"/>
  <c r="N57" i="29"/>
  <c r="M60" i="29"/>
  <c r="W50" i="29"/>
  <c r="T57" i="29"/>
  <c r="L57" i="29"/>
  <c r="J57" i="29"/>
  <c r="H57" i="29"/>
  <c r="F57" i="29"/>
  <c r="W53" i="29"/>
  <c r="T55" i="29"/>
  <c r="P55" i="29"/>
  <c r="N55" i="29"/>
  <c r="L55" i="29"/>
  <c r="J55" i="29"/>
  <c r="H55" i="29"/>
  <c r="F55" i="29"/>
  <c r="W49" i="29"/>
  <c r="T54" i="29"/>
  <c r="P54" i="29"/>
  <c r="N54" i="29"/>
  <c r="L54" i="29"/>
  <c r="J54" i="29"/>
  <c r="H54" i="29"/>
  <c r="F54" i="29"/>
  <c r="N30" i="29"/>
  <c r="V11" i="43"/>
  <c r="V16" i="43"/>
  <c r="V15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2" i="43"/>
  <c r="V13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6" i="30"/>
  <c r="P19" i="30"/>
  <c r="P15" i="30"/>
  <c r="P14" i="30"/>
  <c r="P22" i="30"/>
  <c r="P18" i="30"/>
  <c r="P17" i="30"/>
  <c r="P23" i="30"/>
  <c r="P25" i="30"/>
  <c r="P21" i="30"/>
  <c r="P20" i="30"/>
  <c r="P24" i="30"/>
  <c r="P26" i="30"/>
  <c r="P28" i="30"/>
  <c r="P27" i="30"/>
  <c r="P29" i="30"/>
  <c r="P33" i="30"/>
  <c r="P35" i="30"/>
  <c r="P37" i="30"/>
  <c r="P30" i="30"/>
  <c r="P39" i="30"/>
  <c r="P31" i="30"/>
  <c r="P40" i="30"/>
  <c r="P34" i="30"/>
  <c r="P45" i="30"/>
  <c r="P32" i="30"/>
  <c r="P36" i="30"/>
  <c r="P38" i="30"/>
  <c r="P41" i="30"/>
  <c r="P43" i="30"/>
  <c r="P44" i="30"/>
  <c r="P42" i="30"/>
  <c r="P12" i="30"/>
  <c r="P13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P14" i="42"/>
  <c r="P19" i="42"/>
  <c r="P18" i="42"/>
  <c r="P23" i="42"/>
  <c r="P20" i="42"/>
  <c r="P24" i="42"/>
  <c r="P17" i="42"/>
  <c r="P13" i="42"/>
  <c r="P21" i="42"/>
  <c r="P22" i="42"/>
  <c r="P28" i="42"/>
  <c r="P27" i="42"/>
  <c r="P29" i="42"/>
  <c r="P25" i="42"/>
  <c r="P30" i="42"/>
  <c r="P26" i="42"/>
  <c r="P31" i="42"/>
  <c r="P33" i="42"/>
  <c r="P32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P11" i="42"/>
  <c r="P15" i="42"/>
  <c r="P12" i="42"/>
  <c r="P16" i="42"/>
  <c r="O46" i="42"/>
  <c r="J54" i="25"/>
  <c r="J53" i="25"/>
  <c r="F32" i="25"/>
  <c r="J24" i="25"/>
  <c r="V20" i="30"/>
  <c r="N18" i="30"/>
  <c r="N45" i="30"/>
  <c r="N30" i="30"/>
  <c r="N26" i="30"/>
  <c r="N12" i="30"/>
  <c r="N20" i="30"/>
  <c r="N23" i="30"/>
  <c r="N19" i="30"/>
  <c r="N22" i="30"/>
  <c r="N40" i="30"/>
  <c r="N21" i="30"/>
  <c r="N14" i="30"/>
  <c r="N28" i="30"/>
  <c r="N25" i="30"/>
  <c r="N16" i="30"/>
  <c r="N34" i="30"/>
  <c r="N39" i="30"/>
  <c r="N32" i="30"/>
  <c r="N27" i="30"/>
  <c r="N29" i="30"/>
  <c r="N17" i="30"/>
  <c r="N13" i="30"/>
  <c r="N11" i="30"/>
  <c r="N31" i="30"/>
  <c r="N35" i="30"/>
  <c r="N15" i="30"/>
  <c r="N33" i="30"/>
  <c r="N37" i="30"/>
  <c r="N36" i="30"/>
  <c r="N38" i="30"/>
  <c r="N41" i="30"/>
  <c r="N43" i="30"/>
  <c r="N44" i="30"/>
  <c r="N42" i="30"/>
  <c r="N24" i="30"/>
  <c r="R23" i="42"/>
  <c r="R11" i="42"/>
  <c r="J12" i="19"/>
  <c r="J13" i="19"/>
  <c r="J26" i="19"/>
  <c r="J16" i="19"/>
  <c r="J14" i="19"/>
  <c r="J27" i="19"/>
  <c r="J24" i="19"/>
  <c r="J33" i="19"/>
  <c r="J11" i="19"/>
  <c r="J29" i="19"/>
  <c r="J22" i="19"/>
  <c r="J34" i="19"/>
  <c r="J18" i="19"/>
  <c r="J19" i="19"/>
  <c r="J20" i="19"/>
  <c r="J15" i="19"/>
  <c r="J25" i="19"/>
  <c r="J17" i="19"/>
  <c r="J30" i="19"/>
  <c r="J32" i="19"/>
  <c r="J31" i="19"/>
  <c r="J28" i="19"/>
  <c r="J21" i="19"/>
  <c r="I35" i="19"/>
  <c r="X11" i="31"/>
  <c r="J11" i="42"/>
  <c r="J31" i="42"/>
  <c r="I46" i="42"/>
  <c r="J45" i="42"/>
  <c r="J44" i="42"/>
  <c r="J43" i="42"/>
  <c r="J42" i="42"/>
  <c r="J41" i="42"/>
  <c r="J40" i="42"/>
  <c r="J39" i="42"/>
  <c r="J38" i="42"/>
  <c r="J37" i="42"/>
  <c r="J36" i="42"/>
  <c r="J35" i="42"/>
  <c r="J34" i="42"/>
  <c r="J32" i="42"/>
  <c r="J33" i="42"/>
  <c r="J26" i="42"/>
  <c r="J30" i="42"/>
  <c r="J25" i="42"/>
  <c r="J29" i="42"/>
  <c r="J27" i="42"/>
  <c r="J28" i="42"/>
  <c r="J13" i="42"/>
  <c r="J22" i="42"/>
  <c r="J21" i="42"/>
  <c r="J17" i="42"/>
  <c r="J23" i="42"/>
  <c r="J16" i="42"/>
  <c r="J14" i="42"/>
  <c r="J19" i="42"/>
  <c r="J24" i="42"/>
  <c r="J18" i="42"/>
  <c r="J20" i="42"/>
  <c r="J12" i="42"/>
  <c r="J15" i="42"/>
  <c r="L40" i="29"/>
  <c r="H26" i="43"/>
  <c r="P18" i="41"/>
  <c r="J25" i="31"/>
  <c r="J11" i="31"/>
  <c r="J12" i="31"/>
  <c r="J18" i="31"/>
  <c r="J13" i="31"/>
  <c r="J16" i="31"/>
  <c r="J22" i="31"/>
  <c r="J17" i="31"/>
  <c r="J23" i="31"/>
  <c r="J20" i="31"/>
  <c r="J21" i="31"/>
  <c r="J27" i="31"/>
  <c r="J15" i="31"/>
  <c r="J24" i="31"/>
  <c r="J14" i="3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6" i="41"/>
  <c r="J19" i="41"/>
  <c r="J15" i="41"/>
  <c r="J21" i="41"/>
  <c r="J17" i="41"/>
  <c r="J20" i="41"/>
  <c r="J22" i="41"/>
  <c r="J23" i="41"/>
  <c r="J18" i="41"/>
  <c r="J24" i="41"/>
  <c r="J32" i="30"/>
  <c r="J16" i="30"/>
  <c r="J12" i="30"/>
  <c r="J11" i="30"/>
  <c r="J19" i="30"/>
  <c r="J18" i="30"/>
  <c r="J17" i="30"/>
  <c r="J15" i="30"/>
  <c r="J24" i="30"/>
  <c r="J25" i="30"/>
  <c r="J23" i="30"/>
  <c r="J22" i="30"/>
  <c r="J20" i="30"/>
  <c r="J14" i="30"/>
  <c r="J26" i="30"/>
  <c r="J27" i="30"/>
  <c r="J33" i="30"/>
  <c r="J37" i="30"/>
  <c r="J21" i="30"/>
  <c r="J35" i="30"/>
  <c r="J39" i="30"/>
  <c r="J40" i="30"/>
  <c r="J28" i="30"/>
  <c r="J29" i="30"/>
  <c r="J45" i="30"/>
  <c r="J30" i="30"/>
  <c r="J31" i="30"/>
  <c r="J34" i="30"/>
  <c r="J36" i="30"/>
  <c r="J38" i="30"/>
  <c r="J41" i="30"/>
  <c r="J43" i="30"/>
  <c r="J44" i="30"/>
  <c r="J42" i="30"/>
  <c r="J13" i="30"/>
  <c r="I46" i="30"/>
  <c r="L31" i="42"/>
  <c r="L14" i="42"/>
  <c r="L12" i="42"/>
  <c r="L24" i="42"/>
  <c r="L20" i="42"/>
  <c r="L15" i="42"/>
  <c r="L19" i="42"/>
  <c r="L16" i="42"/>
  <c r="L28" i="42"/>
  <c r="L18" i="42"/>
  <c r="L21" i="42"/>
  <c r="L25" i="42"/>
  <c r="L33" i="42"/>
  <c r="L22" i="42"/>
  <c r="L27" i="42"/>
  <c r="L29" i="42"/>
  <c r="L23" i="42"/>
  <c r="L30" i="42"/>
  <c r="L26" i="42"/>
  <c r="L17" i="42"/>
  <c r="L13" i="42"/>
  <c r="L32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11" i="42"/>
  <c r="K46" i="42"/>
  <c r="F12" i="25"/>
  <c r="F33" i="25"/>
  <c r="F18" i="25"/>
  <c r="F17" i="25"/>
  <c r="F28" i="25"/>
  <c r="F38" i="25"/>
  <c r="F23" i="25"/>
  <c r="F22" i="25"/>
  <c r="F30" i="25"/>
  <c r="F19" i="25"/>
  <c r="F24" i="25"/>
  <c r="F25" i="25"/>
  <c r="F35" i="25"/>
  <c r="F21" i="25"/>
  <c r="F29" i="25"/>
  <c r="F52" i="25"/>
  <c r="F13" i="25"/>
  <c r="F14" i="25"/>
  <c r="F16" i="25"/>
  <c r="F40" i="25"/>
  <c r="F31" i="25"/>
  <c r="F15" i="25"/>
  <c r="F34" i="25"/>
  <c r="F26" i="25"/>
  <c r="F27" i="25"/>
  <c r="F20" i="25"/>
  <c r="F36" i="25"/>
  <c r="F39" i="25"/>
  <c r="F37" i="25"/>
  <c r="F43" i="25"/>
  <c r="F42" i="25"/>
  <c r="F44" i="25"/>
  <c r="F46" i="25"/>
  <c r="F47" i="25"/>
  <c r="F50" i="25"/>
  <c r="F51" i="25"/>
  <c r="F48" i="25"/>
  <c r="F53" i="25"/>
  <c r="F54" i="25"/>
  <c r="F49" i="25"/>
  <c r="F11" i="25"/>
  <c r="E55" i="25"/>
  <c r="F33" i="48"/>
  <c r="F17" i="48"/>
  <c r="F19" i="48"/>
  <c r="F11" i="48"/>
  <c r="F22" i="48"/>
  <c r="F35" i="48"/>
  <c r="F13" i="48"/>
  <c r="F16" i="48"/>
  <c r="F20" i="48"/>
  <c r="F12" i="48"/>
  <c r="F14" i="48"/>
  <c r="F24" i="48"/>
  <c r="F21" i="48"/>
  <c r="F26" i="48"/>
  <c r="F15" i="48"/>
  <c r="F27" i="48"/>
  <c r="F23" i="48"/>
  <c r="F25" i="48"/>
  <c r="F31" i="48"/>
  <c r="F29" i="48"/>
  <c r="F30" i="48"/>
  <c r="F34" i="48"/>
  <c r="F28" i="48"/>
  <c r="F36" i="48"/>
  <c r="F32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18" i="48"/>
  <c r="E55" i="48"/>
  <c r="J34" i="29"/>
  <c r="H46" i="45"/>
  <c r="H19" i="47"/>
  <c r="H36" i="44"/>
  <c r="H13" i="46"/>
  <c r="H58" i="29"/>
  <c r="H15" i="29"/>
  <c r="H13" i="29"/>
  <c r="H12" i="29"/>
  <c r="H14" i="29"/>
  <c r="H17" i="29"/>
  <c r="H16" i="29"/>
  <c r="H18" i="29"/>
  <c r="H22" i="29"/>
  <c r="H31" i="29"/>
  <c r="H36" i="29"/>
  <c r="H20" i="29"/>
  <c r="H26" i="29"/>
  <c r="H19" i="29"/>
  <c r="H32" i="29"/>
  <c r="H29" i="29"/>
  <c r="H27" i="29"/>
  <c r="H23" i="29"/>
  <c r="H25" i="29"/>
  <c r="H42" i="29"/>
  <c r="H43" i="29"/>
  <c r="H33" i="29"/>
  <c r="H44" i="29"/>
  <c r="H59" i="29"/>
  <c r="H24" i="29"/>
  <c r="H30" i="29"/>
  <c r="H21" i="29"/>
  <c r="H40" i="29"/>
  <c r="H28" i="29"/>
  <c r="H46" i="29"/>
  <c r="H49" i="29"/>
  <c r="H35" i="29"/>
  <c r="H39" i="29"/>
  <c r="H50" i="29"/>
  <c r="H34" i="29"/>
  <c r="H53" i="29"/>
  <c r="H38" i="29"/>
  <c r="H45" i="29"/>
  <c r="H48" i="29"/>
  <c r="H51" i="29"/>
  <c r="H37" i="29"/>
  <c r="H11" i="29"/>
  <c r="G60" i="29"/>
  <c r="H12" i="43"/>
  <c r="H13" i="43"/>
  <c r="H23" i="43"/>
  <c r="H18" i="43"/>
  <c r="H15" i="43"/>
  <c r="H17" i="43"/>
  <c r="H25" i="43"/>
  <c r="H30" i="43"/>
  <c r="H16" i="43"/>
  <c r="H22" i="43"/>
  <c r="H21" i="43"/>
  <c r="H14" i="43"/>
  <c r="H24" i="43"/>
  <c r="H19" i="43"/>
  <c r="H20" i="43"/>
  <c r="H27" i="43"/>
  <c r="H29" i="43"/>
  <c r="H31" i="43"/>
  <c r="H32" i="43"/>
  <c r="H33" i="43"/>
  <c r="H28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18" i="35"/>
  <c r="F33" i="19"/>
  <c r="F24" i="19"/>
  <c r="F27" i="19"/>
  <c r="F14" i="19"/>
  <c r="F16" i="19"/>
  <c r="F26" i="19"/>
  <c r="F13" i="19"/>
  <c r="F12" i="19"/>
  <c r="F21" i="19"/>
  <c r="F11" i="19"/>
  <c r="F29" i="19"/>
  <c r="F22" i="19"/>
  <c r="F34" i="19"/>
  <c r="Q55" i="48"/>
  <c r="O55" i="48"/>
  <c r="M55" i="48"/>
  <c r="K55" i="48"/>
  <c r="I55" i="48"/>
  <c r="G55" i="48"/>
  <c r="U54" i="48"/>
  <c r="A54" i="48" s="1"/>
  <c r="R54" i="48"/>
  <c r="P54" i="48"/>
  <c r="N54" i="48"/>
  <c r="L54" i="48"/>
  <c r="J54" i="48"/>
  <c r="H54" i="48"/>
  <c r="U53" i="48"/>
  <c r="A53" i="48" s="1"/>
  <c r="R53" i="48"/>
  <c r="P53" i="48"/>
  <c r="N53" i="48"/>
  <c r="L53" i="48"/>
  <c r="J53" i="48"/>
  <c r="H53" i="48"/>
  <c r="U52" i="48"/>
  <c r="A52" i="48" s="1"/>
  <c r="R52" i="48"/>
  <c r="P52" i="48"/>
  <c r="N52" i="48"/>
  <c r="L52" i="48"/>
  <c r="J52" i="48"/>
  <c r="H52" i="48"/>
  <c r="U51" i="48"/>
  <c r="A51" i="48" s="1"/>
  <c r="R51" i="48"/>
  <c r="P51" i="48"/>
  <c r="N51" i="48"/>
  <c r="L51" i="48"/>
  <c r="J51" i="48"/>
  <c r="H51" i="48"/>
  <c r="U50" i="48"/>
  <c r="A50" i="48" s="1"/>
  <c r="R50" i="48"/>
  <c r="P50" i="48"/>
  <c r="N50" i="48"/>
  <c r="L50" i="48"/>
  <c r="J50" i="48"/>
  <c r="H50" i="48"/>
  <c r="U49" i="48"/>
  <c r="A49" i="48" s="1"/>
  <c r="R49" i="48"/>
  <c r="P49" i="48"/>
  <c r="N49" i="48"/>
  <c r="L49" i="48"/>
  <c r="J49" i="48"/>
  <c r="H49" i="48"/>
  <c r="U48" i="48"/>
  <c r="A48" i="48" s="1"/>
  <c r="R48" i="48"/>
  <c r="P48" i="48"/>
  <c r="N48" i="48"/>
  <c r="L48" i="48"/>
  <c r="J48" i="48"/>
  <c r="H48" i="48"/>
  <c r="U47" i="48"/>
  <c r="A47" i="48" s="1"/>
  <c r="R47" i="48"/>
  <c r="P47" i="48"/>
  <c r="N47" i="48"/>
  <c r="L47" i="48"/>
  <c r="J47" i="48"/>
  <c r="H47" i="48"/>
  <c r="U46" i="48"/>
  <c r="A46" i="48" s="1"/>
  <c r="R46" i="48"/>
  <c r="P46" i="48"/>
  <c r="N46" i="48"/>
  <c r="L46" i="48"/>
  <c r="J46" i="48"/>
  <c r="H46" i="48"/>
  <c r="U45" i="48"/>
  <c r="A45" i="48" s="1"/>
  <c r="R45" i="48"/>
  <c r="P45" i="48"/>
  <c r="N45" i="48"/>
  <c r="L45" i="48"/>
  <c r="J45" i="48"/>
  <c r="H45" i="48"/>
  <c r="U44" i="48"/>
  <c r="A44" i="48" s="1"/>
  <c r="R44" i="48"/>
  <c r="P44" i="48"/>
  <c r="N44" i="48"/>
  <c r="L44" i="48"/>
  <c r="J44" i="48"/>
  <c r="H44" i="48"/>
  <c r="U43" i="48"/>
  <c r="A43" i="48" s="1"/>
  <c r="R43" i="48"/>
  <c r="P43" i="48"/>
  <c r="N43" i="48"/>
  <c r="L43" i="48"/>
  <c r="J43" i="48"/>
  <c r="H43" i="48"/>
  <c r="U42" i="48"/>
  <c r="A42" i="48" s="1"/>
  <c r="R42" i="48"/>
  <c r="P42" i="48"/>
  <c r="N42" i="48"/>
  <c r="L42" i="48"/>
  <c r="J42" i="48"/>
  <c r="H42" i="48"/>
  <c r="U41" i="48"/>
  <c r="A41" i="48" s="1"/>
  <c r="R41" i="48"/>
  <c r="P41" i="48"/>
  <c r="N41" i="48"/>
  <c r="L41" i="48"/>
  <c r="J41" i="48"/>
  <c r="H41" i="48"/>
  <c r="U40" i="48"/>
  <c r="A40" i="48" s="1"/>
  <c r="R40" i="48"/>
  <c r="P40" i="48"/>
  <c r="N40" i="48"/>
  <c r="L40" i="48"/>
  <c r="J40" i="48"/>
  <c r="H40" i="48"/>
  <c r="U39" i="48"/>
  <c r="A39" i="48" s="1"/>
  <c r="R39" i="48"/>
  <c r="P39" i="48"/>
  <c r="N39" i="48"/>
  <c r="L39" i="48"/>
  <c r="J39" i="48"/>
  <c r="H39" i="48"/>
  <c r="U38" i="48"/>
  <c r="A38" i="48" s="1"/>
  <c r="R38" i="48"/>
  <c r="P38" i="48"/>
  <c r="N38" i="48"/>
  <c r="L38" i="48"/>
  <c r="J38" i="48"/>
  <c r="H38" i="48"/>
  <c r="U37" i="48"/>
  <c r="A37" i="48" s="1"/>
  <c r="R37" i="48"/>
  <c r="P37" i="48"/>
  <c r="N37" i="48"/>
  <c r="L37" i="48"/>
  <c r="J37" i="48"/>
  <c r="H37" i="48"/>
  <c r="U16" i="48"/>
  <c r="R32" i="48"/>
  <c r="P32" i="48"/>
  <c r="N32" i="48"/>
  <c r="L32" i="48"/>
  <c r="H32" i="48"/>
  <c r="U19" i="48"/>
  <c r="R36" i="48"/>
  <c r="P36" i="48"/>
  <c r="N36" i="48"/>
  <c r="L36" i="48"/>
  <c r="J36" i="48"/>
  <c r="H36" i="48"/>
  <c r="U12" i="48"/>
  <c r="R28" i="48"/>
  <c r="P28" i="48"/>
  <c r="N28" i="48"/>
  <c r="L28" i="48"/>
  <c r="J28" i="48"/>
  <c r="H28" i="48"/>
  <c r="U27" i="48"/>
  <c r="R34" i="48"/>
  <c r="P34" i="48"/>
  <c r="L34" i="48"/>
  <c r="J34" i="48"/>
  <c r="H34" i="48"/>
  <c r="U33" i="48"/>
  <c r="R30" i="48"/>
  <c r="N30" i="48"/>
  <c r="L30" i="48"/>
  <c r="J30" i="48"/>
  <c r="H30" i="48"/>
  <c r="U35" i="48"/>
  <c r="R29" i="48"/>
  <c r="P29" i="48"/>
  <c r="N29" i="48"/>
  <c r="L29" i="48"/>
  <c r="J29" i="48"/>
  <c r="H29" i="48"/>
  <c r="U25" i="48"/>
  <c r="R31" i="48"/>
  <c r="P31" i="48"/>
  <c r="N31" i="48"/>
  <c r="L31" i="48"/>
  <c r="J31" i="48"/>
  <c r="H31" i="48"/>
  <c r="U24" i="48"/>
  <c r="R25" i="48"/>
  <c r="P25" i="48"/>
  <c r="N25" i="48"/>
  <c r="L25" i="48"/>
  <c r="J25" i="48"/>
  <c r="H25" i="48"/>
  <c r="U31" i="48"/>
  <c r="R23" i="48"/>
  <c r="P23" i="48"/>
  <c r="N23" i="48"/>
  <c r="L23" i="48"/>
  <c r="J23" i="48"/>
  <c r="H23" i="48"/>
  <c r="U36" i="48"/>
  <c r="R27" i="48"/>
  <c r="P27" i="48"/>
  <c r="N27" i="48"/>
  <c r="L27" i="48"/>
  <c r="J27" i="48"/>
  <c r="H27" i="48"/>
  <c r="U20" i="48"/>
  <c r="R15" i="48"/>
  <c r="P15" i="48"/>
  <c r="N15" i="48"/>
  <c r="L15" i="48"/>
  <c r="J15" i="48"/>
  <c r="H15" i="48"/>
  <c r="U29" i="48"/>
  <c r="R26" i="48"/>
  <c r="P26" i="48"/>
  <c r="N26" i="48"/>
  <c r="L26" i="48"/>
  <c r="J26" i="48"/>
  <c r="H26" i="48"/>
  <c r="U30" i="48"/>
  <c r="R21" i="48"/>
  <c r="P21" i="48"/>
  <c r="N21" i="48"/>
  <c r="L21" i="48"/>
  <c r="J21" i="48"/>
  <c r="H21" i="48"/>
  <c r="U28" i="48"/>
  <c r="R24" i="48"/>
  <c r="P24" i="48"/>
  <c r="N24" i="48"/>
  <c r="L24" i="48"/>
  <c r="J24" i="48"/>
  <c r="H24" i="48"/>
  <c r="U21" i="48"/>
  <c r="R14" i="48"/>
  <c r="N14" i="48"/>
  <c r="L14" i="48"/>
  <c r="J14" i="48"/>
  <c r="H14" i="48"/>
  <c r="U34" i="48"/>
  <c r="R12" i="48"/>
  <c r="P12" i="48"/>
  <c r="N12" i="48"/>
  <c r="L12" i="48"/>
  <c r="J12" i="48"/>
  <c r="H12" i="48"/>
  <c r="U18" i="48"/>
  <c r="R20" i="48"/>
  <c r="P20" i="48"/>
  <c r="N20" i="48"/>
  <c r="L20" i="48"/>
  <c r="J20" i="48"/>
  <c r="H20" i="48"/>
  <c r="U23" i="48"/>
  <c r="R16" i="48"/>
  <c r="P16" i="48"/>
  <c r="N16" i="48"/>
  <c r="L16" i="48"/>
  <c r="J16" i="48"/>
  <c r="H16" i="48"/>
  <c r="U11" i="48"/>
  <c r="R13" i="48"/>
  <c r="P13" i="48"/>
  <c r="S13" i="48" s="1"/>
  <c r="N13" i="48"/>
  <c r="L13" i="48"/>
  <c r="J13" i="48"/>
  <c r="H13" i="48"/>
  <c r="U13" i="48"/>
  <c r="R33" i="48"/>
  <c r="P33" i="48"/>
  <c r="N33" i="48"/>
  <c r="L33" i="48"/>
  <c r="J33" i="48"/>
  <c r="H33" i="48"/>
  <c r="U14" i="48"/>
  <c r="R35" i="48"/>
  <c r="P35" i="48"/>
  <c r="N35" i="48"/>
  <c r="L35" i="48"/>
  <c r="J35" i="48"/>
  <c r="H35" i="48"/>
  <c r="U26" i="48"/>
  <c r="R22" i="48"/>
  <c r="P22" i="48"/>
  <c r="N22" i="48"/>
  <c r="L22" i="48"/>
  <c r="J22" i="48"/>
  <c r="H22" i="48"/>
  <c r="U32" i="48"/>
  <c r="R11" i="48"/>
  <c r="P11" i="48"/>
  <c r="N11" i="48"/>
  <c r="L11" i="48"/>
  <c r="J11" i="48"/>
  <c r="H11" i="48"/>
  <c r="U22" i="48"/>
  <c r="R19" i="48"/>
  <c r="P19" i="48"/>
  <c r="N19" i="48"/>
  <c r="L19" i="48"/>
  <c r="J19" i="48"/>
  <c r="H19" i="48"/>
  <c r="U15" i="48"/>
  <c r="R17" i="48"/>
  <c r="P17" i="48"/>
  <c r="N17" i="48"/>
  <c r="L17" i="48"/>
  <c r="J17" i="48"/>
  <c r="H17" i="48"/>
  <c r="U17" i="48"/>
  <c r="R18" i="48"/>
  <c r="P18" i="48"/>
  <c r="N18" i="48"/>
  <c r="L18" i="48"/>
  <c r="J18" i="48"/>
  <c r="H18" i="48"/>
  <c r="G3" i="48"/>
  <c r="G2" i="48"/>
  <c r="N39" i="25"/>
  <c r="N37" i="25"/>
  <c r="N43" i="25"/>
  <c r="N42" i="25"/>
  <c r="N44" i="25"/>
  <c r="N46" i="25"/>
  <c r="N47" i="25"/>
  <c r="N50" i="25"/>
  <c r="N51" i="25"/>
  <c r="N48" i="25"/>
  <c r="N54" i="25"/>
  <c r="N49" i="25"/>
  <c r="F35" i="45"/>
  <c r="F42" i="45"/>
  <c r="F31" i="45"/>
  <c r="F32" i="45"/>
  <c r="F24" i="45"/>
  <c r="F46" i="45"/>
  <c r="F20" i="45"/>
  <c r="F44" i="45"/>
  <c r="F37" i="45"/>
  <c r="F33" i="45"/>
  <c r="F43" i="45"/>
  <c r="F45" i="45"/>
  <c r="F38" i="45"/>
  <c r="F36" i="45"/>
  <c r="F47" i="45"/>
  <c r="F48" i="45"/>
  <c r="F49" i="45"/>
  <c r="F50" i="45"/>
  <c r="F51" i="45"/>
  <c r="F52" i="45"/>
  <c r="F29" i="47"/>
  <c r="F30" i="47"/>
  <c r="F31" i="47"/>
  <c r="F32" i="47"/>
  <c r="F33" i="47"/>
  <c r="F34" i="47"/>
  <c r="O34" i="47" s="1"/>
  <c r="F35" i="47"/>
  <c r="F36" i="47"/>
  <c r="F37" i="47"/>
  <c r="F38" i="47"/>
  <c r="F39" i="47"/>
  <c r="F40" i="47"/>
  <c r="O40" i="47" s="1"/>
  <c r="F41" i="47"/>
  <c r="F42" i="47"/>
  <c r="O42" i="47" s="1"/>
  <c r="F43" i="47"/>
  <c r="F44" i="47"/>
  <c r="F45" i="47"/>
  <c r="F46" i="47"/>
  <c r="F47" i="47"/>
  <c r="F48" i="47"/>
  <c r="F49" i="47"/>
  <c r="O49" i="47" s="1"/>
  <c r="F50" i="47"/>
  <c r="O50" i="47" s="1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A43" i="47" s="1"/>
  <c r="N43" i="47"/>
  <c r="L43" i="47"/>
  <c r="J43" i="47"/>
  <c r="H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R36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A34" i="47" s="1"/>
  <c r="N34" i="47"/>
  <c r="L34" i="47"/>
  <c r="J34" i="47"/>
  <c r="H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N29" i="47"/>
  <c r="J29" i="47"/>
  <c r="H29" i="47"/>
  <c r="A29" i="47"/>
  <c r="Q28" i="47"/>
  <c r="A28" i="47" s="1"/>
  <c r="N28" i="47"/>
  <c r="L28" i="47"/>
  <c r="J28" i="47"/>
  <c r="H28" i="47"/>
  <c r="F28" i="47"/>
  <c r="Q27" i="47"/>
  <c r="A27" i="47" s="1"/>
  <c r="N27" i="47"/>
  <c r="L27" i="47"/>
  <c r="J27" i="47"/>
  <c r="H27" i="47"/>
  <c r="F27" i="47"/>
  <c r="Q26" i="47"/>
  <c r="A26" i="47" s="1"/>
  <c r="N26" i="47"/>
  <c r="L26" i="47"/>
  <c r="J26" i="47"/>
  <c r="H26" i="47"/>
  <c r="F26" i="47"/>
  <c r="Q25" i="47"/>
  <c r="A25" i="47" s="1"/>
  <c r="N25" i="47"/>
  <c r="L25" i="47"/>
  <c r="J25" i="47"/>
  <c r="H25" i="47"/>
  <c r="F25" i="47"/>
  <c r="Q20" i="47"/>
  <c r="A20" i="47" s="1"/>
  <c r="N20" i="47"/>
  <c r="L20" i="47"/>
  <c r="J20" i="47"/>
  <c r="H20" i="47"/>
  <c r="F20" i="47"/>
  <c r="Q19" i="47"/>
  <c r="A19" i="47" s="1"/>
  <c r="N19" i="47"/>
  <c r="L19" i="47"/>
  <c r="J19" i="47"/>
  <c r="F19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H21" i="47"/>
  <c r="F21" i="47"/>
  <c r="O21" i="47" s="1"/>
  <c r="Q15" i="47"/>
  <c r="A15" i="47" s="1"/>
  <c r="N15" i="47"/>
  <c r="L15" i="47"/>
  <c r="J15" i="47"/>
  <c r="H15" i="47"/>
  <c r="F15" i="47"/>
  <c r="Q13" i="47"/>
  <c r="A13" i="47" s="1"/>
  <c r="N13" i="47"/>
  <c r="L13" i="47"/>
  <c r="J13" i="47"/>
  <c r="H13" i="47"/>
  <c r="F13" i="47"/>
  <c r="Q17" i="47"/>
  <c r="A17" i="47" s="1"/>
  <c r="L17" i="47"/>
  <c r="J17" i="47"/>
  <c r="H17" i="47"/>
  <c r="F17" i="47"/>
  <c r="Q22" i="47"/>
  <c r="A22" i="47" s="1"/>
  <c r="N22" i="47"/>
  <c r="L22" i="47"/>
  <c r="J22" i="47"/>
  <c r="H22" i="47"/>
  <c r="F22" i="47"/>
  <c r="Q24" i="47"/>
  <c r="A24" i="47" s="1"/>
  <c r="N24" i="47"/>
  <c r="L24" i="47"/>
  <c r="J24" i="47"/>
  <c r="H24" i="47"/>
  <c r="F24" i="47"/>
  <c r="Q18" i="47"/>
  <c r="A18" i="47" s="1"/>
  <c r="N18" i="47"/>
  <c r="L18" i="47"/>
  <c r="J18" i="47"/>
  <c r="H18" i="47"/>
  <c r="F18" i="47"/>
  <c r="Q16" i="47"/>
  <c r="A16" i="47" s="1"/>
  <c r="N16" i="47"/>
  <c r="L16" i="47"/>
  <c r="J16" i="47"/>
  <c r="H16" i="47"/>
  <c r="F16" i="47"/>
  <c r="Q12" i="47"/>
  <c r="A12" i="47" s="1"/>
  <c r="N12" i="47"/>
  <c r="L12" i="47"/>
  <c r="J12" i="47"/>
  <c r="H12" i="47"/>
  <c r="F12" i="47"/>
  <c r="Q14" i="47"/>
  <c r="A14" i="47" s="1"/>
  <c r="N14" i="47"/>
  <c r="L14" i="47"/>
  <c r="J14" i="47"/>
  <c r="H14" i="47"/>
  <c r="F14" i="47"/>
  <c r="Q11" i="47"/>
  <c r="A11" i="47" s="1"/>
  <c r="N11" i="47"/>
  <c r="L11" i="47"/>
  <c r="J11" i="47"/>
  <c r="H11" i="47"/>
  <c r="F11" i="47"/>
  <c r="G3" i="47"/>
  <c r="G2" i="47"/>
  <c r="F32" i="44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R50" i="46"/>
  <c r="Q50" i="46"/>
  <c r="A50" i="46" s="1"/>
  <c r="P50" i="46"/>
  <c r="N50" i="46"/>
  <c r="L50" i="46"/>
  <c r="J50" i="46"/>
  <c r="H50" i="46"/>
  <c r="F50" i="46"/>
  <c r="Q49" i="46"/>
  <c r="A49" i="46" s="1"/>
  <c r="P49" i="46"/>
  <c r="N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A42" i="46" s="1"/>
  <c r="P42" i="46"/>
  <c r="N42" i="46"/>
  <c r="L42" i="46"/>
  <c r="J42" i="46"/>
  <c r="H42" i="46"/>
  <c r="F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F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F34" i="46"/>
  <c r="R33" i="46"/>
  <c r="Q33" i="46"/>
  <c r="A33" i="46" s="1"/>
  <c r="P33" i="46"/>
  <c r="N33" i="46"/>
  <c r="L33" i="46"/>
  <c r="J33" i="46"/>
  <c r="H33" i="46"/>
  <c r="F33" i="46"/>
  <c r="R32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R30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R28" i="46" s="1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R22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R19" i="46" s="1"/>
  <c r="N19" i="46"/>
  <c r="L19" i="46"/>
  <c r="J19" i="46"/>
  <c r="H19" i="46"/>
  <c r="F19" i="46"/>
  <c r="Q18" i="46"/>
  <c r="A18" i="46" s="1"/>
  <c r="P18" i="46"/>
  <c r="R18" i="46" s="1"/>
  <c r="N18" i="46"/>
  <c r="L18" i="46"/>
  <c r="J18" i="46"/>
  <c r="H18" i="46"/>
  <c r="F18" i="46"/>
  <c r="Q17" i="46"/>
  <c r="A17" i="46" s="1"/>
  <c r="P17" i="46"/>
  <c r="R17" i="46" s="1"/>
  <c r="N17" i="46"/>
  <c r="L17" i="46"/>
  <c r="J17" i="46"/>
  <c r="H17" i="46"/>
  <c r="F17" i="46"/>
  <c r="Q16" i="46"/>
  <c r="A16" i="46" s="1"/>
  <c r="P16" i="46"/>
  <c r="R16" i="46" s="1"/>
  <c r="N16" i="46"/>
  <c r="J16" i="46"/>
  <c r="H16" i="46"/>
  <c r="F16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F13" i="46"/>
  <c r="Q15" i="46"/>
  <c r="A15" i="46" s="1"/>
  <c r="P15" i="46"/>
  <c r="N15" i="46"/>
  <c r="L15" i="46"/>
  <c r="J15" i="46"/>
  <c r="H15" i="46"/>
  <c r="F15" i="46"/>
  <c r="Q12" i="46"/>
  <c r="A12" i="46" s="1"/>
  <c r="P12" i="46"/>
  <c r="N12" i="46"/>
  <c r="L12" i="46"/>
  <c r="J12" i="46"/>
  <c r="H12" i="46"/>
  <c r="F12" i="46"/>
  <c r="Q11" i="46"/>
  <c r="A11" i="46" s="1"/>
  <c r="P11" i="46"/>
  <c r="N11" i="46"/>
  <c r="L11" i="46"/>
  <c r="J11" i="46"/>
  <c r="H11" i="46"/>
  <c r="F11" i="46"/>
  <c r="G3" i="46"/>
  <c r="G2" i="46"/>
  <c r="I54" i="46" s="1"/>
  <c r="M53" i="45"/>
  <c r="K53" i="45"/>
  <c r="I53" i="45"/>
  <c r="G53" i="45"/>
  <c r="E53" i="45"/>
  <c r="Q52" i="45"/>
  <c r="A52" i="45" s="1"/>
  <c r="P52" i="45"/>
  <c r="N52" i="45"/>
  <c r="L52" i="45"/>
  <c r="J52" i="45"/>
  <c r="H52" i="45"/>
  <c r="Q51" i="45"/>
  <c r="A51" i="45" s="1"/>
  <c r="P51" i="45"/>
  <c r="N51" i="45"/>
  <c r="L51" i="45"/>
  <c r="J51" i="45"/>
  <c r="H51" i="45"/>
  <c r="R50" i="45"/>
  <c r="Q50" i="45"/>
  <c r="A50" i="45" s="1"/>
  <c r="P50" i="45"/>
  <c r="N50" i="45"/>
  <c r="L50" i="45"/>
  <c r="J50" i="45"/>
  <c r="H50" i="45"/>
  <c r="Q49" i="45"/>
  <c r="A49" i="45" s="1"/>
  <c r="P49" i="45"/>
  <c r="N49" i="45"/>
  <c r="L49" i="45"/>
  <c r="J49" i="45"/>
  <c r="H49" i="45"/>
  <c r="Q48" i="45"/>
  <c r="A48" i="45" s="1"/>
  <c r="P48" i="45"/>
  <c r="N48" i="45"/>
  <c r="L48" i="45"/>
  <c r="J48" i="45"/>
  <c r="H48" i="45"/>
  <c r="Q47" i="45"/>
  <c r="A47" i="45" s="1"/>
  <c r="P47" i="45"/>
  <c r="R47" i="45" s="1"/>
  <c r="N47" i="45"/>
  <c r="L47" i="45"/>
  <c r="J47" i="45"/>
  <c r="H47" i="45"/>
  <c r="Q36" i="45"/>
  <c r="A36" i="45" s="1"/>
  <c r="P36" i="45"/>
  <c r="N36" i="45"/>
  <c r="L36" i="45"/>
  <c r="J36" i="45"/>
  <c r="H36" i="45"/>
  <c r="Q38" i="45"/>
  <c r="A38" i="45" s="1"/>
  <c r="P38" i="45"/>
  <c r="N38" i="45"/>
  <c r="L38" i="45"/>
  <c r="J38" i="45"/>
  <c r="H38" i="45"/>
  <c r="Q45" i="45"/>
  <c r="A45" i="45" s="1"/>
  <c r="P45" i="45"/>
  <c r="R45" i="45" s="1"/>
  <c r="N45" i="45"/>
  <c r="L45" i="45"/>
  <c r="J45" i="45"/>
  <c r="H45" i="45"/>
  <c r="Q43" i="45"/>
  <c r="A43" i="45" s="1"/>
  <c r="P43" i="45"/>
  <c r="N43" i="45"/>
  <c r="L43" i="45"/>
  <c r="J43" i="45"/>
  <c r="H43" i="45"/>
  <c r="Q46" i="45"/>
  <c r="P33" i="45"/>
  <c r="N33" i="45"/>
  <c r="L33" i="45"/>
  <c r="J33" i="45"/>
  <c r="H33" i="45"/>
  <c r="Q44" i="45"/>
  <c r="P37" i="45"/>
  <c r="N37" i="45"/>
  <c r="L37" i="45"/>
  <c r="J37" i="45"/>
  <c r="H37" i="45"/>
  <c r="Q42" i="45"/>
  <c r="P44" i="45"/>
  <c r="R44" i="45" s="1"/>
  <c r="N44" i="45"/>
  <c r="L44" i="45"/>
  <c r="J44" i="45"/>
  <c r="H44" i="45"/>
  <c r="Q20" i="45"/>
  <c r="P20" i="45"/>
  <c r="N20" i="45"/>
  <c r="L20" i="45"/>
  <c r="J20" i="45"/>
  <c r="H20" i="45"/>
  <c r="Q33" i="45"/>
  <c r="P46" i="45"/>
  <c r="N46" i="45"/>
  <c r="L46" i="45"/>
  <c r="J46" i="45"/>
  <c r="Q28" i="45"/>
  <c r="P24" i="45"/>
  <c r="N24" i="45"/>
  <c r="L24" i="45"/>
  <c r="J24" i="45"/>
  <c r="H24" i="45"/>
  <c r="Q26" i="45"/>
  <c r="P32" i="45"/>
  <c r="N32" i="45"/>
  <c r="J32" i="45"/>
  <c r="H32" i="45"/>
  <c r="Q37" i="45"/>
  <c r="P35" i="45"/>
  <c r="N35" i="45"/>
  <c r="L35" i="45"/>
  <c r="J35" i="45"/>
  <c r="H35" i="45"/>
  <c r="Q27" i="45"/>
  <c r="P31" i="45"/>
  <c r="N31" i="45"/>
  <c r="L31" i="45"/>
  <c r="J31" i="45"/>
  <c r="H31" i="45"/>
  <c r="Q41" i="45"/>
  <c r="P42" i="45"/>
  <c r="N42" i="45"/>
  <c r="L42" i="45"/>
  <c r="J42" i="45"/>
  <c r="H42" i="45"/>
  <c r="Q40" i="45"/>
  <c r="P39" i="45"/>
  <c r="N39" i="45"/>
  <c r="L39" i="45"/>
  <c r="J39" i="45"/>
  <c r="H39" i="45"/>
  <c r="F39" i="45"/>
  <c r="Q25" i="45"/>
  <c r="P29" i="45"/>
  <c r="N29" i="45"/>
  <c r="L29" i="45"/>
  <c r="J29" i="45"/>
  <c r="H29" i="45"/>
  <c r="F29" i="45"/>
  <c r="Q39" i="45"/>
  <c r="P27" i="45"/>
  <c r="N27" i="45"/>
  <c r="L27" i="45"/>
  <c r="J27" i="45"/>
  <c r="H27" i="45"/>
  <c r="F27" i="45"/>
  <c r="Q31" i="45"/>
  <c r="P40" i="45"/>
  <c r="L40" i="45"/>
  <c r="J40" i="45"/>
  <c r="H40" i="45"/>
  <c r="F40" i="45"/>
  <c r="Q35" i="45"/>
  <c r="P41" i="45"/>
  <c r="N41" i="45"/>
  <c r="L41" i="45"/>
  <c r="J41" i="45"/>
  <c r="H41" i="45"/>
  <c r="F41" i="45"/>
  <c r="Q34" i="45"/>
  <c r="P22" i="45"/>
  <c r="R22" i="45" s="1"/>
  <c r="N22" i="45"/>
  <c r="L22" i="45"/>
  <c r="J22" i="45"/>
  <c r="H22" i="45"/>
  <c r="F22" i="45"/>
  <c r="Q30" i="45"/>
  <c r="P34" i="45"/>
  <c r="N34" i="45"/>
  <c r="L34" i="45"/>
  <c r="J34" i="45"/>
  <c r="H34" i="45"/>
  <c r="F34" i="45"/>
  <c r="Q19" i="45"/>
  <c r="P16" i="45"/>
  <c r="N16" i="45"/>
  <c r="L16" i="45"/>
  <c r="J16" i="45"/>
  <c r="H16" i="45"/>
  <c r="F16" i="45"/>
  <c r="Q32" i="45"/>
  <c r="P23" i="45"/>
  <c r="N23" i="45"/>
  <c r="L23" i="45"/>
  <c r="J23" i="45"/>
  <c r="H23" i="45"/>
  <c r="F23" i="45"/>
  <c r="Q23" i="45"/>
  <c r="P28" i="45"/>
  <c r="N28" i="45"/>
  <c r="L28" i="45"/>
  <c r="J28" i="45"/>
  <c r="H28" i="45"/>
  <c r="F28" i="45"/>
  <c r="Q22" i="45"/>
  <c r="A26" i="45" s="1"/>
  <c r="P26" i="45"/>
  <c r="L26" i="45"/>
  <c r="J26" i="45"/>
  <c r="H26" i="45"/>
  <c r="F26" i="45"/>
  <c r="Q29" i="45"/>
  <c r="P25" i="45"/>
  <c r="N25" i="45"/>
  <c r="L25" i="45"/>
  <c r="J25" i="45"/>
  <c r="H25" i="45"/>
  <c r="F25" i="45"/>
  <c r="Q12" i="45"/>
  <c r="P12" i="45"/>
  <c r="N12" i="45"/>
  <c r="L12" i="45"/>
  <c r="J12" i="45"/>
  <c r="H12" i="45"/>
  <c r="F12" i="45"/>
  <c r="Q21" i="45"/>
  <c r="P30" i="45"/>
  <c r="N30" i="45"/>
  <c r="J30" i="45"/>
  <c r="H30" i="45"/>
  <c r="F30" i="45"/>
  <c r="Q16" i="45"/>
  <c r="P19" i="45"/>
  <c r="N19" i="45"/>
  <c r="L19" i="45"/>
  <c r="J19" i="45"/>
  <c r="H19" i="45"/>
  <c r="F19" i="45"/>
  <c r="Q15" i="45"/>
  <c r="P17" i="45"/>
  <c r="N17" i="45"/>
  <c r="L17" i="45"/>
  <c r="J17" i="45"/>
  <c r="H17" i="45"/>
  <c r="F17" i="45"/>
  <c r="Q17" i="45"/>
  <c r="P15" i="45"/>
  <c r="N15" i="45"/>
  <c r="L15" i="45"/>
  <c r="J15" i="45"/>
  <c r="H15" i="45"/>
  <c r="F15" i="45"/>
  <c r="Q24" i="45"/>
  <c r="P18" i="45"/>
  <c r="N18" i="45"/>
  <c r="L18" i="45"/>
  <c r="J18" i="45"/>
  <c r="H18" i="45"/>
  <c r="F18" i="45"/>
  <c r="Q13" i="45"/>
  <c r="P13" i="45"/>
  <c r="R13" i="45" s="1"/>
  <c r="N13" i="45"/>
  <c r="L13" i="45"/>
  <c r="J13" i="45"/>
  <c r="H13" i="45"/>
  <c r="F13" i="45"/>
  <c r="Q14" i="45"/>
  <c r="A14" i="45" s="1"/>
  <c r="P14" i="45"/>
  <c r="N14" i="45"/>
  <c r="L14" i="45"/>
  <c r="J14" i="45"/>
  <c r="H14" i="45"/>
  <c r="F14" i="45"/>
  <c r="Q11" i="45"/>
  <c r="P11" i="45"/>
  <c r="N11" i="45"/>
  <c r="L11" i="45"/>
  <c r="J11" i="45"/>
  <c r="H11" i="45"/>
  <c r="F11" i="45"/>
  <c r="Q18" i="45"/>
  <c r="P21" i="45"/>
  <c r="N21" i="45"/>
  <c r="J21" i="45"/>
  <c r="H21" i="45"/>
  <c r="F21" i="45"/>
  <c r="G3" i="45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N49" i="44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Q45" i="44"/>
  <c r="A45" i="44" s="1"/>
  <c r="N45" i="44"/>
  <c r="L45" i="44"/>
  <c r="J45" i="44"/>
  <c r="H45" i="44"/>
  <c r="F45" i="44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J41" i="44"/>
  <c r="H41" i="44"/>
  <c r="F41" i="44"/>
  <c r="Q40" i="44"/>
  <c r="A40" i="44" s="1"/>
  <c r="N40" i="44"/>
  <c r="L40" i="44"/>
  <c r="J40" i="44"/>
  <c r="H40" i="44"/>
  <c r="F40" i="44"/>
  <c r="Q39" i="44"/>
  <c r="A39" i="44" s="1"/>
  <c r="N39" i="44"/>
  <c r="L39" i="44"/>
  <c r="J39" i="44"/>
  <c r="H39" i="44"/>
  <c r="F39" i="44"/>
  <c r="Q31" i="44"/>
  <c r="A31" i="44" s="1"/>
  <c r="N31" i="44"/>
  <c r="L31" i="44"/>
  <c r="J31" i="44"/>
  <c r="H31" i="44"/>
  <c r="F31" i="44"/>
  <c r="Q35" i="44"/>
  <c r="A35" i="44" s="1"/>
  <c r="N35" i="44"/>
  <c r="L35" i="44"/>
  <c r="J35" i="44"/>
  <c r="H35" i="44"/>
  <c r="F35" i="44"/>
  <c r="Q28" i="44"/>
  <c r="A28" i="44" s="1"/>
  <c r="N28" i="44"/>
  <c r="J28" i="44"/>
  <c r="H28" i="44"/>
  <c r="F28" i="44"/>
  <c r="Q22" i="44"/>
  <c r="A22" i="44" s="1"/>
  <c r="N22" i="44"/>
  <c r="L22" i="44"/>
  <c r="J22" i="44"/>
  <c r="H22" i="44"/>
  <c r="F22" i="44"/>
  <c r="Q29" i="44"/>
  <c r="A29" i="44" s="1"/>
  <c r="N29" i="44"/>
  <c r="L29" i="44"/>
  <c r="J29" i="44"/>
  <c r="H29" i="44"/>
  <c r="F29" i="44"/>
  <c r="Q38" i="44"/>
  <c r="N37" i="44"/>
  <c r="L37" i="44"/>
  <c r="J37" i="44"/>
  <c r="H37" i="44"/>
  <c r="F37" i="44"/>
  <c r="Q37" i="44"/>
  <c r="N34" i="44"/>
  <c r="L34" i="44"/>
  <c r="J34" i="44"/>
  <c r="H34" i="44"/>
  <c r="F34" i="44"/>
  <c r="Q36" i="44"/>
  <c r="N33" i="44"/>
  <c r="L33" i="44"/>
  <c r="J33" i="44"/>
  <c r="H33" i="44"/>
  <c r="F33" i="44"/>
  <c r="Q32" i="44"/>
  <c r="N30" i="44"/>
  <c r="L30" i="44"/>
  <c r="J30" i="44"/>
  <c r="H30" i="44"/>
  <c r="F30" i="44"/>
  <c r="Q34" i="44"/>
  <c r="N26" i="44"/>
  <c r="L26" i="44"/>
  <c r="J26" i="44"/>
  <c r="H26" i="44"/>
  <c r="F26" i="44"/>
  <c r="Q18" i="44"/>
  <c r="N23" i="44"/>
  <c r="L23" i="44"/>
  <c r="J23" i="44"/>
  <c r="H23" i="44"/>
  <c r="F23" i="44"/>
  <c r="Q27" i="44"/>
  <c r="N17" i="44"/>
  <c r="L17" i="44"/>
  <c r="J17" i="44"/>
  <c r="H17" i="44"/>
  <c r="F17" i="44"/>
  <c r="Q19" i="44"/>
  <c r="N25" i="44"/>
  <c r="L25" i="44"/>
  <c r="J25" i="44"/>
  <c r="H25" i="44"/>
  <c r="F25" i="44"/>
  <c r="Q33" i="44"/>
  <c r="A18" i="44" s="1"/>
  <c r="N18" i="44"/>
  <c r="L18" i="44"/>
  <c r="J18" i="44"/>
  <c r="H18" i="44"/>
  <c r="F18" i="44"/>
  <c r="Q23" i="44"/>
  <c r="N38" i="44"/>
  <c r="L38" i="44"/>
  <c r="J38" i="44"/>
  <c r="H38" i="44"/>
  <c r="F38" i="44"/>
  <c r="Q25" i="44"/>
  <c r="N32" i="44"/>
  <c r="L32" i="44"/>
  <c r="J32" i="44"/>
  <c r="H32" i="44"/>
  <c r="Q20" i="44"/>
  <c r="N27" i="44"/>
  <c r="L27" i="44"/>
  <c r="J27" i="44"/>
  <c r="H27" i="44"/>
  <c r="F27" i="44"/>
  <c r="Q16" i="44"/>
  <c r="N36" i="44"/>
  <c r="J36" i="44"/>
  <c r="F36" i="44"/>
  <c r="Q17" i="44"/>
  <c r="N19" i="44"/>
  <c r="L19" i="44"/>
  <c r="J19" i="44"/>
  <c r="H19" i="44"/>
  <c r="F19" i="44"/>
  <c r="Q13" i="44"/>
  <c r="N15" i="44"/>
  <c r="L15" i="44"/>
  <c r="J15" i="44"/>
  <c r="H15" i="44"/>
  <c r="F15" i="44"/>
  <c r="Q21" i="44"/>
  <c r="N16" i="44"/>
  <c r="L16" i="44"/>
  <c r="J16" i="44"/>
  <c r="H16" i="44"/>
  <c r="F16" i="44"/>
  <c r="Q15" i="44"/>
  <c r="A20" i="44" s="1"/>
  <c r="N20" i="44"/>
  <c r="L20" i="44"/>
  <c r="J20" i="44"/>
  <c r="H20" i="44"/>
  <c r="F20" i="44"/>
  <c r="Q26" i="44"/>
  <c r="N12" i="44"/>
  <c r="L12" i="44"/>
  <c r="J12" i="44"/>
  <c r="H12" i="44"/>
  <c r="F12" i="44"/>
  <c r="Q14" i="44"/>
  <c r="N24" i="44"/>
  <c r="L24" i="44"/>
  <c r="J24" i="44"/>
  <c r="H24" i="44"/>
  <c r="F24" i="44"/>
  <c r="Q30" i="44"/>
  <c r="A21" i="44" s="1"/>
  <c r="N21" i="44"/>
  <c r="L21" i="44"/>
  <c r="J21" i="44"/>
  <c r="H21" i="44"/>
  <c r="F21" i="44"/>
  <c r="Q12" i="44"/>
  <c r="N11" i="44"/>
  <c r="L11" i="44"/>
  <c r="J11" i="44"/>
  <c r="H11" i="44"/>
  <c r="F11" i="44"/>
  <c r="Q24" i="44"/>
  <c r="N14" i="44"/>
  <c r="L14" i="44"/>
  <c r="J14" i="44"/>
  <c r="H14" i="44"/>
  <c r="F14" i="44"/>
  <c r="Q11" i="44"/>
  <c r="N13" i="44"/>
  <c r="L13" i="44"/>
  <c r="J13" i="44"/>
  <c r="H13" i="44"/>
  <c r="F13" i="44"/>
  <c r="G3" i="44"/>
  <c r="G2" i="44"/>
  <c r="F40" i="29"/>
  <c r="F30" i="43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P49" i="43"/>
  <c r="N49" i="43"/>
  <c r="L49" i="43"/>
  <c r="J49" i="43"/>
  <c r="F49" i="43"/>
  <c r="U49" i="43" s="1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T40" i="43"/>
  <c r="P40" i="43"/>
  <c r="N40" i="43"/>
  <c r="L40" i="43"/>
  <c r="J40" i="43"/>
  <c r="F40" i="43"/>
  <c r="A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N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4" i="43"/>
  <c r="P34" i="43"/>
  <c r="N34" i="43"/>
  <c r="L34" i="43"/>
  <c r="J34" i="43"/>
  <c r="F34" i="43"/>
  <c r="W28" i="43"/>
  <c r="A28" i="43" s="1"/>
  <c r="T28" i="43"/>
  <c r="P28" i="43"/>
  <c r="N28" i="43"/>
  <c r="L28" i="43"/>
  <c r="J28" i="43"/>
  <c r="F28" i="43"/>
  <c r="W33" i="43"/>
  <c r="A33" i="43" s="1"/>
  <c r="T33" i="43"/>
  <c r="P33" i="43"/>
  <c r="N33" i="43"/>
  <c r="L33" i="43"/>
  <c r="J33" i="43"/>
  <c r="F33" i="43"/>
  <c r="W32" i="43"/>
  <c r="A32" i="43" s="1"/>
  <c r="T32" i="43"/>
  <c r="P32" i="43"/>
  <c r="N32" i="43"/>
  <c r="L32" i="43"/>
  <c r="J32" i="43"/>
  <c r="F32" i="43"/>
  <c r="W31" i="43"/>
  <c r="A31" i="43" s="1"/>
  <c r="T31" i="43"/>
  <c r="P31" i="43"/>
  <c r="N31" i="43"/>
  <c r="L31" i="43"/>
  <c r="J31" i="43"/>
  <c r="F31" i="43"/>
  <c r="W30" i="43"/>
  <c r="T29" i="43"/>
  <c r="P29" i="43"/>
  <c r="N29" i="43"/>
  <c r="L29" i="43"/>
  <c r="J29" i="43"/>
  <c r="F29" i="43"/>
  <c r="W29" i="43"/>
  <c r="T27" i="43"/>
  <c r="P27" i="43"/>
  <c r="N27" i="43"/>
  <c r="L27" i="43"/>
  <c r="J27" i="43"/>
  <c r="F27" i="43"/>
  <c r="W27" i="43"/>
  <c r="T20" i="43"/>
  <c r="P20" i="43"/>
  <c r="N20" i="43"/>
  <c r="L20" i="43"/>
  <c r="J20" i="43"/>
  <c r="F20" i="43"/>
  <c r="W22" i="43"/>
  <c r="T19" i="43"/>
  <c r="P19" i="43"/>
  <c r="N19" i="43"/>
  <c r="L19" i="43"/>
  <c r="J19" i="43"/>
  <c r="F19" i="43"/>
  <c r="W21" i="43"/>
  <c r="T24" i="43"/>
  <c r="P24" i="43"/>
  <c r="N24" i="43"/>
  <c r="L24" i="43"/>
  <c r="J24" i="43"/>
  <c r="F24" i="43"/>
  <c r="W26" i="43"/>
  <c r="T14" i="43"/>
  <c r="P14" i="43"/>
  <c r="N14" i="43"/>
  <c r="L14" i="43"/>
  <c r="J14" i="43"/>
  <c r="F14" i="43"/>
  <c r="W15" i="43"/>
  <c r="T21" i="43"/>
  <c r="P21" i="43"/>
  <c r="N21" i="43"/>
  <c r="L21" i="43"/>
  <c r="J21" i="43"/>
  <c r="F21" i="43"/>
  <c r="W16" i="43"/>
  <c r="T26" i="43"/>
  <c r="P26" i="43"/>
  <c r="N26" i="43"/>
  <c r="L26" i="43"/>
  <c r="J26" i="43"/>
  <c r="F26" i="43"/>
  <c r="W18" i="43"/>
  <c r="T22" i="43"/>
  <c r="P22" i="43"/>
  <c r="N22" i="43"/>
  <c r="L22" i="43"/>
  <c r="J22" i="43"/>
  <c r="F22" i="43"/>
  <c r="W19" i="43"/>
  <c r="T16" i="43"/>
  <c r="P16" i="43"/>
  <c r="N16" i="43"/>
  <c r="L16" i="43"/>
  <c r="J16" i="43"/>
  <c r="F16" i="43"/>
  <c r="W20" i="43"/>
  <c r="T30" i="43"/>
  <c r="P30" i="43"/>
  <c r="N30" i="43"/>
  <c r="L30" i="43"/>
  <c r="J30" i="43"/>
  <c r="W11" i="43"/>
  <c r="T25" i="43"/>
  <c r="P25" i="43"/>
  <c r="N25" i="43"/>
  <c r="L25" i="43"/>
  <c r="J25" i="43"/>
  <c r="F25" i="43"/>
  <c r="W13" i="43"/>
  <c r="T17" i="43"/>
  <c r="P17" i="43"/>
  <c r="N17" i="43"/>
  <c r="L17" i="43"/>
  <c r="J17" i="43"/>
  <c r="F17" i="43"/>
  <c r="W17" i="43"/>
  <c r="T15" i="43"/>
  <c r="P15" i="43"/>
  <c r="N15" i="43"/>
  <c r="L15" i="43"/>
  <c r="J15" i="43"/>
  <c r="F15" i="43"/>
  <c r="W25" i="43"/>
  <c r="T18" i="43"/>
  <c r="P18" i="43"/>
  <c r="N18" i="43"/>
  <c r="L18" i="43"/>
  <c r="J18" i="43"/>
  <c r="F18" i="43"/>
  <c r="W14" i="43"/>
  <c r="T23" i="43"/>
  <c r="P23" i="43"/>
  <c r="N23" i="43"/>
  <c r="L23" i="43"/>
  <c r="J23" i="43"/>
  <c r="F23" i="43"/>
  <c r="W23" i="43"/>
  <c r="A13" i="43" s="1"/>
  <c r="T13" i="43"/>
  <c r="P13" i="43"/>
  <c r="U13" i="43" s="1"/>
  <c r="N13" i="43"/>
  <c r="L13" i="43"/>
  <c r="J13" i="43"/>
  <c r="F13" i="43"/>
  <c r="W12" i="43"/>
  <c r="A12" i="43" s="1"/>
  <c r="T12" i="43"/>
  <c r="N12" i="43"/>
  <c r="L12" i="43"/>
  <c r="J12" i="43"/>
  <c r="F12" i="43"/>
  <c r="W24" i="43"/>
  <c r="A11" i="43" s="1"/>
  <c r="T11" i="43"/>
  <c r="P11" i="43"/>
  <c r="N11" i="43"/>
  <c r="L11" i="43"/>
  <c r="J11" i="43"/>
  <c r="F11" i="43"/>
  <c r="G3" i="43"/>
  <c r="G2" i="43"/>
  <c r="G3" i="29"/>
  <c r="J15" i="29"/>
  <c r="J13" i="29"/>
  <c r="J12" i="29"/>
  <c r="J14" i="29"/>
  <c r="J17" i="29"/>
  <c r="J16" i="29"/>
  <c r="J18" i="29"/>
  <c r="J22" i="29"/>
  <c r="J31" i="29"/>
  <c r="J36" i="29"/>
  <c r="J20" i="29"/>
  <c r="J26" i="29"/>
  <c r="J19" i="29"/>
  <c r="J32" i="29"/>
  <c r="J29" i="29"/>
  <c r="J27" i="29"/>
  <c r="J23" i="29"/>
  <c r="J25" i="29"/>
  <c r="J42" i="29"/>
  <c r="J43" i="29"/>
  <c r="J33" i="29"/>
  <c r="J44" i="29"/>
  <c r="J59" i="29"/>
  <c r="J24" i="29"/>
  <c r="J30" i="29"/>
  <c r="J21" i="29"/>
  <c r="J40" i="29"/>
  <c r="J28" i="29"/>
  <c r="J46" i="29"/>
  <c r="J49" i="29"/>
  <c r="J58" i="29"/>
  <c r="J35" i="29"/>
  <c r="J39" i="29"/>
  <c r="J50" i="29"/>
  <c r="J53" i="29"/>
  <c r="J38" i="29"/>
  <c r="J45" i="29"/>
  <c r="J48" i="29"/>
  <c r="J51" i="29"/>
  <c r="J37" i="29"/>
  <c r="L15" i="29"/>
  <c r="L13" i="29"/>
  <c r="L12" i="29"/>
  <c r="L14" i="29"/>
  <c r="L17" i="29"/>
  <c r="L16" i="29"/>
  <c r="L18" i="29"/>
  <c r="L22" i="29"/>
  <c r="L31" i="29"/>
  <c r="L36" i="29"/>
  <c r="L20" i="29"/>
  <c r="L26" i="29"/>
  <c r="L19" i="29"/>
  <c r="L32" i="29"/>
  <c r="L29" i="29"/>
  <c r="L27" i="29"/>
  <c r="L23" i="29"/>
  <c r="L25" i="29"/>
  <c r="L42" i="29"/>
  <c r="L43" i="29"/>
  <c r="L33" i="29"/>
  <c r="L44" i="29"/>
  <c r="L59" i="29"/>
  <c r="L24" i="29"/>
  <c r="L30" i="29"/>
  <c r="L21" i="29"/>
  <c r="L28" i="29"/>
  <c r="L46" i="29"/>
  <c r="L49" i="29"/>
  <c r="L58" i="29"/>
  <c r="L35" i="29"/>
  <c r="L39" i="29"/>
  <c r="L50" i="29"/>
  <c r="L34" i="29"/>
  <c r="L53" i="29"/>
  <c r="L38" i="29"/>
  <c r="L45" i="29"/>
  <c r="L48" i="29"/>
  <c r="L51" i="29"/>
  <c r="L37" i="29"/>
  <c r="F13" i="30"/>
  <c r="F19" i="30"/>
  <c r="F16" i="30"/>
  <c r="F25" i="30"/>
  <c r="F27" i="30"/>
  <c r="F18" i="30"/>
  <c r="F22" i="30"/>
  <c r="F26" i="30"/>
  <c r="F14" i="30"/>
  <c r="F17" i="30"/>
  <c r="F23" i="30"/>
  <c r="F24" i="30"/>
  <c r="F33" i="30"/>
  <c r="F21" i="30"/>
  <c r="F35" i="30"/>
  <c r="F39" i="30"/>
  <c r="F40" i="30"/>
  <c r="F28" i="30"/>
  <c r="F29" i="30"/>
  <c r="F45" i="30"/>
  <c r="F37" i="30"/>
  <c r="F20" i="30"/>
  <c r="F15" i="30"/>
  <c r="F11" i="30"/>
  <c r="F32" i="30"/>
  <c r="F30" i="30"/>
  <c r="F31" i="30"/>
  <c r="F34" i="30"/>
  <c r="F36" i="30"/>
  <c r="F38" i="30"/>
  <c r="F41" i="30"/>
  <c r="F43" i="30"/>
  <c r="F44" i="30"/>
  <c r="F42" i="30"/>
  <c r="F12" i="30"/>
  <c r="F33" i="42"/>
  <c r="F12" i="42"/>
  <c r="F15" i="42"/>
  <c r="F19" i="42"/>
  <c r="F14" i="42"/>
  <c r="F28" i="42"/>
  <c r="F21" i="42"/>
  <c r="F25" i="42"/>
  <c r="F20" i="42"/>
  <c r="F22" i="42"/>
  <c r="F18" i="42"/>
  <c r="F16" i="42"/>
  <c r="F27" i="42"/>
  <c r="F24" i="42"/>
  <c r="F29" i="42"/>
  <c r="F23" i="42"/>
  <c r="F30" i="42"/>
  <c r="F26" i="42"/>
  <c r="F31" i="42"/>
  <c r="F17" i="42"/>
  <c r="F13" i="42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1" i="42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N45" i="42"/>
  <c r="H45" i="42"/>
  <c r="AG44" i="42"/>
  <c r="A44" i="42" s="1"/>
  <c r="AD44" i="42"/>
  <c r="AB44" i="42"/>
  <c r="Z44" i="42"/>
  <c r="V44" i="42"/>
  <c r="R44" i="42"/>
  <c r="N44" i="42"/>
  <c r="H44" i="42"/>
  <c r="AG43" i="42"/>
  <c r="A43" i="42" s="1"/>
  <c r="AD43" i="42"/>
  <c r="AB43" i="42"/>
  <c r="Z43" i="42"/>
  <c r="V43" i="42"/>
  <c r="R43" i="42"/>
  <c r="N43" i="42"/>
  <c r="H43" i="42"/>
  <c r="AG42" i="42"/>
  <c r="A42" i="42" s="1"/>
  <c r="AD42" i="42"/>
  <c r="AB42" i="42"/>
  <c r="Z42" i="42"/>
  <c r="V42" i="42"/>
  <c r="R42" i="42"/>
  <c r="N42" i="42"/>
  <c r="H42" i="42"/>
  <c r="AG41" i="42"/>
  <c r="A41" i="42" s="1"/>
  <c r="AD41" i="42"/>
  <c r="AB41" i="42"/>
  <c r="Z41" i="42"/>
  <c r="V41" i="42"/>
  <c r="R41" i="42"/>
  <c r="N41" i="42"/>
  <c r="H41" i="42"/>
  <c r="AG40" i="42"/>
  <c r="A40" i="42" s="1"/>
  <c r="AD40" i="42"/>
  <c r="AB40" i="42"/>
  <c r="Z40" i="42"/>
  <c r="V40" i="42"/>
  <c r="R40" i="42"/>
  <c r="N40" i="42"/>
  <c r="H40" i="42"/>
  <c r="AG39" i="42"/>
  <c r="A39" i="42" s="1"/>
  <c r="AD39" i="42"/>
  <c r="AB39" i="42"/>
  <c r="Z39" i="42"/>
  <c r="V39" i="42"/>
  <c r="R39" i="42"/>
  <c r="N39" i="42"/>
  <c r="H39" i="42"/>
  <c r="AG38" i="42"/>
  <c r="A38" i="42" s="1"/>
  <c r="AD38" i="42"/>
  <c r="AB38" i="42"/>
  <c r="Z38" i="42"/>
  <c r="V38" i="42"/>
  <c r="R38" i="42"/>
  <c r="N38" i="42"/>
  <c r="H38" i="42"/>
  <c r="AG37" i="42"/>
  <c r="A37" i="42" s="1"/>
  <c r="AD37" i="42"/>
  <c r="AB37" i="42"/>
  <c r="Z37" i="42"/>
  <c r="V37" i="42"/>
  <c r="R37" i="42"/>
  <c r="N37" i="42"/>
  <c r="H37" i="42"/>
  <c r="AG36" i="42"/>
  <c r="A36" i="42" s="1"/>
  <c r="AD36" i="42"/>
  <c r="AB36" i="42"/>
  <c r="Z36" i="42"/>
  <c r="V36" i="42"/>
  <c r="R36" i="42"/>
  <c r="N36" i="42"/>
  <c r="H36" i="42"/>
  <c r="AG35" i="42"/>
  <c r="A35" i="42" s="1"/>
  <c r="AD35" i="42"/>
  <c r="AB35" i="42"/>
  <c r="Z35" i="42"/>
  <c r="V35" i="42"/>
  <c r="R35" i="42"/>
  <c r="N35" i="42"/>
  <c r="H35" i="42"/>
  <c r="AG34" i="42"/>
  <c r="A34" i="42" s="1"/>
  <c r="AD34" i="42"/>
  <c r="AB34" i="42"/>
  <c r="Z34" i="42"/>
  <c r="V34" i="42"/>
  <c r="R34" i="42"/>
  <c r="N34" i="42"/>
  <c r="H34" i="42"/>
  <c r="AG32" i="42"/>
  <c r="A32" i="42" s="1"/>
  <c r="AD32" i="42"/>
  <c r="AB32" i="42"/>
  <c r="Z32" i="42"/>
  <c r="V32" i="42"/>
  <c r="R32" i="42"/>
  <c r="N32" i="42"/>
  <c r="H32" i="42"/>
  <c r="AG13" i="42"/>
  <c r="A13" i="42" s="1"/>
  <c r="AD13" i="42"/>
  <c r="AB13" i="42"/>
  <c r="X13" i="42"/>
  <c r="V13" i="42"/>
  <c r="R13" i="42"/>
  <c r="N13" i="42"/>
  <c r="H13" i="42"/>
  <c r="AG17" i="42"/>
  <c r="A17" i="42" s="1"/>
  <c r="AD17" i="42"/>
  <c r="AB17" i="42"/>
  <c r="X17" i="42"/>
  <c r="V17" i="42"/>
  <c r="R17" i="42"/>
  <c r="N17" i="42"/>
  <c r="H17" i="42"/>
  <c r="AG31" i="42"/>
  <c r="A31" i="42" s="1"/>
  <c r="AD31" i="42"/>
  <c r="Z31" i="42"/>
  <c r="X31" i="42"/>
  <c r="V31" i="42"/>
  <c r="R31" i="42"/>
  <c r="N31" i="42"/>
  <c r="H31" i="42"/>
  <c r="AG26" i="42"/>
  <c r="A26" i="42" s="1"/>
  <c r="AD26" i="42"/>
  <c r="AB26" i="42"/>
  <c r="Z26" i="42"/>
  <c r="X26" i="42"/>
  <c r="V26" i="42"/>
  <c r="R26" i="42"/>
  <c r="N26" i="42"/>
  <c r="H26" i="42"/>
  <c r="AG30" i="42"/>
  <c r="A30" i="42" s="1"/>
  <c r="AD30" i="42"/>
  <c r="AB30" i="42"/>
  <c r="Z30" i="42"/>
  <c r="X30" i="42"/>
  <c r="V30" i="42"/>
  <c r="R30" i="42"/>
  <c r="N30" i="42"/>
  <c r="H30" i="42"/>
  <c r="AG23" i="42"/>
  <c r="A23" i="42" s="1"/>
  <c r="AD23" i="42"/>
  <c r="AB23" i="42"/>
  <c r="X23" i="42"/>
  <c r="V23" i="42"/>
  <c r="N23" i="42"/>
  <c r="H23" i="42"/>
  <c r="AG29" i="42"/>
  <c r="A29" i="42" s="1"/>
  <c r="AD29" i="42"/>
  <c r="AB29" i="42"/>
  <c r="Z29" i="42"/>
  <c r="V29" i="42"/>
  <c r="R29" i="42"/>
  <c r="N29" i="42"/>
  <c r="H29" i="42"/>
  <c r="AG24" i="42"/>
  <c r="A24" i="42" s="1"/>
  <c r="AD24" i="42"/>
  <c r="AB24" i="42"/>
  <c r="Z24" i="42"/>
  <c r="X24" i="42"/>
  <c r="V24" i="42"/>
  <c r="R24" i="42"/>
  <c r="N24" i="42"/>
  <c r="H24" i="42"/>
  <c r="AG33" i="42"/>
  <c r="A33" i="42" s="1"/>
  <c r="AD33" i="42"/>
  <c r="AB33" i="42"/>
  <c r="Z33" i="42"/>
  <c r="X33" i="42"/>
  <c r="V33" i="42"/>
  <c r="R33" i="42"/>
  <c r="N33" i="42"/>
  <c r="H33" i="42"/>
  <c r="AG27" i="42"/>
  <c r="A27" i="42" s="1"/>
  <c r="AD27" i="42"/>
  <c r="AB27" i="42"/>
  <c r="Z27" i="42"/>
  <c r="X27" i="42"/>
  <c r="R27" i="42"/>
  <c r="N27" i="42"/>
  <c r="H27" i="42"/>
  <c r="AG16" i="42"/>
  <c r="A16" i="42" s="1"/>
  <c r="AD16" i="42"/>
  <c r="AB16" i="42"/>
  <c r="X16" i="42"/>
  <c r="V16" i="42"/>
  <c r="R16" i="42"/>
  <c r="N16" i="42"/>
  <c r="H16" i="42"/>
  <c r="AG18" i="42"/>
  <c r="A18" i="42" s="1"/>
  <c r="AD18" i="42"/>
  <c r="AB18" i="42"/>
  <c r="X18" i="42"/>
  <c r="V18" i="42"/>
  <c r="R18" i="42"/>
  <c r="N18" i="42"/>
  <c r="H18" i="42"/>
  <c r="AG22" i="42"/>
  <c r="A22" i="42" s="1"/>
  <c r="AD22" i="42"/>
  <c r="AB22" i="42"/>
  <c r="X22" i="42"/>
  <c r="V22" i="42"/>
  <c r="R22" i="42"/>
  <c r="N22" i="42"/>
  <c r="H22" i="42"/>
  <c r="AG20" i="42"/>
  <c r="A20" i="42" s="1"/>
  <c r="AD20" i="42"/>
  <c r="AB20" i="42"/>
  <c r="X20" i="42"/>
  <c r="V20" i="42"/>
  <c r="R20" i="42"/>
  <c r="N20" i="42"/>
  <c r="H20" i="42"/>
  <c r="AG25" i="42"/>
  <c r="A25" i="42" s="1"/>
  <c r="AD25" i="42"/>
  <c r="AB25" i="42"/>
  <c r="Z25" i="42"/>
  <c r="X25" i="42"/>
  <c r="V25" i="42"/>
  <c r="R25" i="42"/>
  <c r="N25" i="42"/>
  <c r="H25" i="42"/>
  <c r="AG21" i="42"/>
  <c r="A21" i="42" s="1"/>
  <c r="AD21" i="42"/>
  <c r="AB21" i="42"/>
  <c r="X21" i="42"/>
  <c r="V21" i="42"/>
  <c r="R21" i="42"/>
  <c r="N21" i="42"/>
  <c r="H21" i="42"/>
  <c r="AG28" i="42"/>
  <c r="A28" i="42" s="1"/>
  <c r="AD28" i="42"/>
  <c r="AB28" i="42"/>
  <c r="Z28" i="42"/>
  <c r="V28" i="42"/>
  <c r="R28" i="42"/>
  <c r="N28" i="42"/>
  <c r="H28" i="42"/>
  <c r="AG14" i="42"/>
  <c r="A14" i="42" s="1"/>
  <c r="AD14" i="42"/>
  <c r="AB14" i="42"/>
  <c r="V14" i="42"/>
  <c r="R14" i="42"/>
  <c r="N14" i="42"/>
  <c r="H14" i="42"/>
  <c r="AG19" i="42"/>
  <c r="A19" i="42" s="1"/>
  <c r="AD19" i="42"/>
  <c r="AB19" i="42"/>
  <c r="X19" i="42"/>
  <c r="V19" i="42"/>
  <c r="R19" i="42"/>
  <c r="N19" i="42"/>
  <c r="H19" i="42"/>
  <c r="AG15" i="42"/>
  <c r="A15" i="42" s="1"/>
  <c r="AD15" i="42"/>
  <c r="AB15" i="42"/>
  <c r="X15" i="42"/>
  <c r="V15" i="42"/>
  <c r="R15" i="42"/>
  <c r="N15" i="42"/>
  <c r="H15" i="42"/>
  <c r="AG12" i="42"/>
  <c r="A12" i="42" s="1"/>
  <c r="AD12" i="42"/>
  <c r="AB12" i="42"/>
  <c r="X12" i="42"/>
  <c r="V12" i="42"/>
  <c r="R12" i="42"/>
  <c r="N12" i="42"/>
  <c r="H12" i="42"/>
  <c r="AG11" i="42"/>
  <c r="A11" i="42" s="1"/>
  <c r="AD11" i="42"/>
  <c r="X11" i="42"/>
  <c r="V11" i="42"/>
  <c r="N11" i="42"/>
  <c r="H11" i="42"/>
  <c r="G2" i="42"/>
  <c r="G3" i="30"/>
  <c r="W46" i="30"/>
  <c r="Q46" i="30"/>
  <c r="E46" i="30"/>
  <c r="V17" i="41"/>
  <c r="V20" i="41"/>
  <c r="V22" i="41"/>
  <c r="V23" i="41"/>
  <c r="V18" i="41"/>
  <c r="V24" i="41"/>
  <c r="Z25" i="30"/>
  <c r="Z27" i="30"/>
  <c r="Z18" i="30"/>
  <c r="Z22" i="30"/>
  <c r="Z26" i="30"/>
  <c r="Z14" i="30"/>
  <c r="Z17" i="30"/>
  <c r="Z23" i="30"/>
  <c r="Z24" i="30"/>
  <c r="Z33" i="30"/>
  <c r="Z21" i="30"/>
  <c r="Z35" i="30"/>
  <c r="Z39" i="30"/>
  <c r="Z40" i="30"/>
  <c r="Z28" i="30"/>
  <c r="Z29" i="30"/>
  <c r="Z45" i="30"/>
  <c r="Z20" i="30"/>
  <c r="Z15" i="30"/>
  <c r="Z11" i="30"/>
  <c r="Z32" i="30"/>
  <c r="Z30" i="30"/>
  <c r="Z31" i="30"/>
  <c r="Z34" i="30"/>
  <c r="Z36" i="30"/>
  <c r="Z38" i="30"/>
  <c r="Z41" i="30"/>
  <c r="Z43" i="30"/>
  <c r="Z44" i="30"/>
  <c r="Z42" i="30"/>
  <c r="T27" i="30"/>
  <c r="T18" i="30"/>
  <c r="T22" i="30"/>
  <c r="T26" i="30"/>
  <c r="T14" i="30"/>
  <c r="T17" i="30"/>
  <c r="T23" i="30"/>
  <c r="T33" i="30"/>
  <c r="T21" i="30"/>
  <c r="T35" i="30"/>
  <c r="T39" i="30"/>
  <c r="T40" i="30"/>
  <c r="T28" i="30"/>
  <c r="T29" i="30"/>
  <c r="T45" i="30"/>
  <c r="T37" i="30"/>
  <c r="T20" i="30"/>
  <c r="T15" i="30"/>
  <c r="T11" i="30"/>
  <c r="T32" i="30"/>
  <c r="T30" i="30"/>
  <c r="T31" i="30"/>
  <c r="T34" i="30"/>
  <c r="T36" i="30"/>
  <c r="T38" i="30"/>
  <c r="T41" i="30"/>
  <c r="T43" i="30"/>
  <c r="T44" i="30"/>
  <c r="T42" i="30"/>
  <c r="F15" i="31"/>
  <c r="F11" i="31"/>
  <c r="F16" i="31"/>
  <c r="F14" i="31"/>
  <c r="F17" i="31"/>
  <c r="F23" i="31"/>
  <c r="F22" i="31"/>
  <c r="F20" i="31"/>
  <c r="F18" i="31"/>
  <c r="F21" i="31"/>
  <c r="F25" i="31"/>
  <c r="F27" i="31"/>
  <c r="F12" i="31"/>
  <c r="F24" i="31"/>
  <c r="F13" i="31"/>
  <c r="F21" i="41"/>
  <c r="F13" i="41"/>
  <c r="F16" i="41"/>
  <c r="F12" i="41"/>
  <c r="F15" i="41"/>
  <c r="F19" i="41"/>
  <c r="F14" i="41"/>
  <c r="F17" i="41"/>
  <c r="F20" i="41"/>
  <c r="F22" i="41"/>
  <c r="F23" i="41"/>
  <c r="F18" i="41"/>
  <c r="F24" i="41"/>
  <c r="F11" i="41"/>
  <c r="S25" i="41"/>
  <c r="T24" i="41"/>
  <c r="T18" i="41"/>
  <c r="T23" i="41"/>
  <c r="T22" i="41"/>
  <c r="T20" i="41"/>
  <c r="T17" i="41"/>
  <c r="T14" i="41"/>
  <c r="T19" i="41"/>
  <c r="T21" i="41"/>
  <c r="T15" i="41"/>
  <c r="T12" i="41"/>
  <c r="T16" i="41"/>
  <c r="T13" i="41"/>
  <c r="T11" i="41"/>
  <c r="S28" i="31"/>
  <c r="T24" i="31"/>
  <c r="T12" i="31"/>
  <c r="T15" i="31"/>
  <c r="T27" i="31"/>
  <c r="T25" i="31"/>
  <c r="T21" i="31"/>
  <c r="T18" i="31"/>
  <c r="T20" i="31"/>
  <c r="T22" i="31"/>
  <c r="T23" i="31"/>
  <c r="T17" i="31"/>
  <c r="T14" i="31"/>
  <c r="T16" i="31"/>
  <c r="T13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8" i="41"/>
  <c r="N18" i="41"/>
  <c r="L18" i="41"/>
  <c r="H18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20" i="41"/>
  <c r="P20" i="41"/>
  <c r="L20" i="41"/>
  <c r="H20" i="41"/>
  <c r="Y17" i="41"/>
  <c r="A17" i="41" s="1"/>
  <c r="R17" i="41"/>
  <c r="P17" i="41"/>
  <c r="N17" i="41"/>
  <c r="L17" i="41"/>
  <c r="H17" i="41"/>
  <c r="Y14" i="41"/>
  <c r="A14" i="41" s="1"/>
  <c r="V14" i="41"/>
  <c r="R14" i="41"/>
  <c r="P14" i="41"/>
  <c r="N14" i="41"/>
  <c r="L14" i="41"/>
  <c r="H14" i="41"/>
  <c r="Y19" i="41"/>
  <c r="A19" i="41" s="1"/>
  <c r="V19" i="41"/>
  <c r="R19" i="41"/>
  <c r="P19" i="41"/>
  <c r="N19" i="41"/>
  <c r="L19" i="41"/>
  <c r="H19" i="41"/>
  <c r="Y21" i="41"/>
  <c r="A21" i="41" s="1"/>
  <c r="V21" i="41"/>
  <c r="R21" i="41"/>
  <c r="P21" i="41"/>
  <c r="N21" i="41"/>
  <c r="L21" i="41"/>
  <c r="H21" i="41"/>
  <c r="Y15" i="41"/>
  <c r="A15" i="41" s="1"/>
  <c r="V15" i="41"/>
  <c r="R15" i="41"/>
  <c r="N15" i="41"/>
  <c r="L15" i="41"/>
  <c r="H15" i="41"/>
  <c r="Y12" i="41"/>
  <c r="A12" i="41" s="1"/>
  <c r="V12" i="41"/>
  <c r="W12" i="41" s="1"/>
  <c r="R12" i="41"/>
  <c r="P12" i="41"/>
  <c r="N12" i="41"/>
  <c r="L12" i="41"/>
  <c r="H12" i="41"/>
  <c r="Y16" i="41"/>
  <c r="A16" i="41" s="1"/>
  <c r="V16" i="41"/>
  <c r="R16" i="41"/>
  <c r="P16" i="41"/>
  <c r="N16" i="41"/>
  <c r="L16" i="41"/>
  <c r="H16" i="41"/>
  <c r="Y13" i="41"/>
  <c r="A13" i="41" s="1"/>
  <c r="V13" i="41"/>
  <c r="R13" i="41"/>
  <c r="P13" i="41"/>
  <c r="N13" i="41"/>
  <c r="L13" i="41"/>
  <c r="H13" i="41"/>
  <c r="Y11" i="41"/>
  <c r="A11" i="41" s="1"/>
  <c r="V11" i="41"/>
  <c r="P11" i="41"/>
  <c r="W11" i="41" s="1"/>
  <c r="N11" i="41"/>
  <c r="L11" i="41"/>
  <c r="H11" i="41"/>
  <c r="G2" i="41"/>
  <c r="E28" i="31"/>
  <c r="I28" i="31"/>
  <c r="L21" i="35"/>
  <c r="L12" i="35"/>
  <c r="L18" i="35"/>
  <c r="L13" i="35"/>
  <c r="L20" i="35"/>
  <c r="L19" i="35"/>
  <c r="L16" i="35"/>
  <c r="L17" i="35"/>
  <c r="L15" i="35"/>
  <c r="L14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R24" i="19"/>
  <c r="R27" i="19"/>
  <c r="R14" i="19"/>
  <c r="R16" i="19"/>
  <c r="R26" i="19"/>
  <c r="R13" i="19"/>
  <c r="R12" i="19"/>
  <c r="R21" i="19"/>
  <c r="R11" i="19"/>
  <c r="R29" i="19"/>
  <c r="R22" i="19"/>
  <c r="R34" i="19"/>
  <c r="R18" i="19"/>
  <c r="R19" i="19"/>
  <c r="R20" i="19"/>
  <c r="R15" i="19"/>
  <c r="R25" i="19"/>
  <c r="R17" i="19"/>
  <c r="R30" i="19"/>
  <c r="R31" i="19"/>
  <c r="R28" i="19"/>
  <c r="N24" i="19"/>
  <c r="N27" i="19"/>
  <c r="N14" i="19"/>
  <c r="N16" i="19"/>
  <c r="N26" i="19"/>
  <c r="N13" i="19"/>
  <c r="N12" i="19"/>
  <c r="N21" i="19"/>
  <c r="N29" i="19"/>
  <c r="N22" i="19"/>
  <c r="N18" i="19"/>
  <c r="N19" i="19"/>
  <c r="N20" i="19"/>
  <c r="N15" i="19"/>
  <c r="N25" i="19"/>
  <c r="N17" i="19"/>
  <c r="N30" i="19"/>
  <c r="N32" i="19"/>
  <c r="N31" i="19"/>
  <c r="N28" i="19"/>
  <c r="H24" i="19"/>
  <c r="H27" i="19"/>
  <c r="H14" i="19"/>
  <c r="H16" i="19"/>
  <c r="H26" i="19"/>
  <c r="H13" i="19"/>
  <c r="H12" i="19"/>
  <c r="H21" i="19"/>
  <c r="H11" i="19"/>
  <c r="H29" i="19"/>
  <c r="H22" i="19"/>
  <c r="H34" i="19"/>
  <c r="H18" i="19"/>
  <c r="H19" i="19"/>
  <c r="H20" i="19"/>
  <c r="H15" i="19"/>
  <c r="H25" i="19"/>
  <c r="H17" i="19"/>
  <c r="H30" i="19"/>
  <c r="H32" i="19"/>
  <c r="H31" i="19"/>
  <c r="H28" i="19"/>
  <c r="F18" i="19"/>
  <c r="F19" i="19"/>
  <c r="F20" i="19"/>
  <c r="F15" i="19"/>
  <c r="F25" i="19"/>
  <c r="F17" i="19"/>
  <c r="F30" i="19"/>
  <c r="F32" i="19"/>
  <c r="F31" i="19"/>
  <c r="F28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V45" i="25" s="1"/>
  <c r="Q60" i="29"/>
  <c r="M28" i="31"/>
  <c r="H35" i="30"/>
  <c r="H45" i="30"/>
  <c r="H32" i="30"/>
  <c r="H30" i="30"/>
  <c r="H31" i="30"/>
  <c r="H34" i="30"/>
  <c r="H36" i="30"/>
  <c r="H38" i="30"/>
  <c r="H41" i="30"/>
  <c r="H43" i="30"/>
  <c r="H44" i="30"/>
  <c r="H42" i="30"/>
  <c r="O41" i="47" l="1"/>
  <c r="S12" i="48"/>
  <c r="R37" i="46"/>
  <c r="O47" i="47"/>
  <c r="O39" i="47"/>
  <c r="S20" i="48"/>
  <c r="T11" i="52"/>
  <c r="T22" i="52"/>
  <c r="T32" i="52"/>
  <c r="T47" i="52"/>
  <c r="AE13" i="42"/>
  <c r="X55" i="29"/>
  <c r="X56" i="29"/>
  <c r="X54" i="29"/>
  <c r="X58" i="29"/>
  <c r="O11" i="46"/>
  <c r="R25" i="46"/>
  <c r="O46" i="47"/>
  <c r="O38" i="47"/>
  <c r="W13" i="52"/>
  <c r="S26" i="48"/>
  <c r="T40" i="51"/>
  <c r="T45" i="51"/>
  <c r="T53" i="51"/>
  <c r="U37" i="43"/>
  <c r="U43" i="43"/>
  <c r="R44" i="44"/>
  <c r="A19" i="45"/>
  <c r="O52" i="47"/>
  <c r="O44" i="47"/>
  <c r="O36" i="47"/>
  <c r="S21" i="48"/>
  <c r="O44" i="46"/>
  <c r="O33" i="47"/>
  <c r="T17" i="52"/>
  <c r="T21" i="52"/>
  <c r="T49" i="52"/>
  <c r="O48" i="47"/>
  <c r="O32" i="47"/>
  <c r="S19" i="48"/>
  <c r="R39" i="46"/>
  <c r="R46" i="46"/>
  <c r="O31" i="47"/>
  <c r="T15" i="52"/>
  <c r="T27" i="52"/>
  <c r="T39" i="52"/>
  <c r="T42" i="52"/>
  <c r="O43" i="44"/>
  <c r="O30" i="47"/>
  <c r="V41" i="25"/>
  <c r="U31" i="43"/>
  <c r="R44" i="46"/>
  <c r="O45" i="47"/>
  <c r="O37" i="47"/>
  <c r="T37" i="51"/>
  <c r="T41" i="51"/>
  <c r="T44" i="51"/>
  <c r="T48" i="51"/>
  <c r="T52" i="51"/>
  <c r="T25" i="52"/>
  <c r="T29" i="52"/>
  <c r="T46" i="52"/>
  <c r="T53" i="52"/>
  <c r="R31" i="46"/>
  <c r="O36" i="46"/>
  <c r="R41" i="46"/>
  <c r="O13" i="47"/>
  <c r="O51" i="47"/>
  <c r="O43" i="47"/>
  <c r="O35" i="47"/>
  <c r="V50" i="48"/>
  <c r="R51" i="47"/>
  <c r="R27" i="47"/>
  <c r="R23" i="47"/>
  <c r="V44" i="48"/>
  <c r="T17" i="51"/>
  <c r="T14" i="51"/>
  <c r="T22" i="51"/>
  <c r="T13" i="52"/>
  <c r="T16" i="52"/>
  <c r="T18" i="52"/>
  <c r="T23" i="52"/>
  <c r="T19" i="52"/>
  <c r="T20" i="52"/>
  <c r="T26" i="52"/>
  <c r="T35" i="52"/>
  <c r="T36" i="52"/>
  <c r="T40" i="52"/>
  <c r="T45" i="52"/>
  <c r="T50" i="52"/>
  <c r="T48" i="52"/>
  <c r="T52" i="52"/>
  <c r="W31" i="52"/>
  <c r="U12" i="43"/>
  <c r="A30" i="43"/>
  <c r="U38" i="43"/>
  <c r="U39" i="43"/>
  <c r="U35" i="43"/>
  <c r="U34" i="43"/>
  <c r="U44" i="43"/>
  <c r="U28" i="43"/>
  <c r="U50" i="43"/>
  <c r="U30" i="29"/>
  <c r="AE11" i="42"/>
  <c r="AE25" i="42"/>
  <c r="AE18" i="42"/>
  <c r="AE14" i="42"/>
  <c r="AE21" i="42"/>
  <c r="AE15" i="42"/>
  <c r="AE12" i="42"/>
  <c r="AC22" i="30"/>
  <c r="A17" i="44"/>
  <c r="A14" i="44"/>
  <c r="S24" i="19"/>
  <c r="U33" i="43"/>
  <c r="A16" i="43"/>
  <c r="U32" i="43"/>
  <c r="A22" i="43"/>
  <c r="A21" i="43"/>
  <c r="U54" i="29"/>
  <c r="O50" i="44"/>
  <c r="O48" i="45"/>
  <c r="O14" i="47"/>
  <c r="O16" i="47"/>
  <c r="O24" i="47"/>
  <c r="O17" i="47"/>
  <c r="O25" i="47"/>
  <c r="O27" i="47"/>
  <c r="O19" i="47"/>
  <c r="O11" i="47"/>
  <c r="O12" i="47"/>
  <c r="O18" i="47"/>
  <c r="O22" i="47"/>
  <c r="O20" i="47"/>
  <c r="O26" i="47"/>
  <c r="O28" i="47"/>
  <c r="O15" i="47"/>
  <c r="O23" i="47"/>
  <c r="O29" i="47"/>
  <c r="R39" i="44"/>
  <c r="R22" i="44"/>
  <c r="W34" i="51"/>
  <c r="W35" i="51"/>
  <c r="U36" i="43"/>
  <c r="A23" i="45"/>
  <c r="O29" i="46"/>
  <c r="O43" i="46"/>
  <c r="R47" i="46"/>
  <c r="X50" i="29"/>
  <c r="R42" i="47"/>
  <c r="R30" i="47"/>
  <c r="T38" i="51"/>
  <c r="T39" i="51"/>
  <c r="T42" i="51"/>
  <c r="T43" i="51"/>
  <c r="T46" i="51"/>
  <c r="T47" i="51"/>
  <c r="T50" i="51"/>
  <c r="T51" i="51"/>
  <c r="T54" i="51"/>
  <c r="T33" i="52"/>
  <c r="T37" i="52"/>
  <c r="T29" i="51"/>
  <c r="T19" i="51"/>
  <c r="AE17" i="42"/>
  <c r="W23" i="41"/>
  <c r="A20" i="43"/>
  <c r="R28" i="44"/>
  <c r="W33" i="51"/>
  <c r="W22" i="41"/>
  <c r="U42" i="43"/>
  <c r="U45" i="43"/>
  <c r="U46" i="43"/>
  <c r="U52" i="43"/>
  <c r="R11" i="44"/>
  <c r="R49" i="44"/>
  <c r="R41" i="44"/>
  <c r="R35" i="44"/>
  <c r="R37" i="44"/>
  <c r="R34" i="44"/>
  <c r="R33" i="44"/>
  <c r="R12" i="44"/>
  <c r="R46" i="45"/>
  <c r="O18" i="46"/>
  <c r="R51" i="46"/>
  <c r="R45" i="47"/>
  <c r="R37" i="47"/>
  <c r="R28" i="47"/>
  <c r="R41" i="47"/>
  <c r="R38" i="47"/>
  <c r="R52" i="47"/>
  <c r="O43" i="45"/>
  <c r="O20" i="45"/>
  <c r="A26" i="48"/>
  <c r="Z26" i="31"/>
  <c r="A27" i="43"/>
  <c r="A33" i="44"/>
  <c r="R48" i="44"/>
  <c r="R48" i="46"/>
  <c r="R15" i="46"/>
  <c r="R27" i="46"/>
  <c r="R36" i="46"/>
  <c r="R45" i="46"/>
  <c r="O49" i="46"/>
  <c r="R49" i="46"/>
  <c r="S16" i="48"/>
  <c r="AC29" i="30"/>
  <c r="V41" i="48"/>
  <c r="T16" i="51"/>
  <c r="T15" i="51"/>
  <c r="T13" i="51"/>
  <c r="T20" i="51"/>
  <c r="T21" i="51"/>
  <c r="T24" i="51"/>
  <c r="T23" i="51"/>
  <c r="T25" i="51"/>
  <c r="T26" i="51"/>
  <c r="T27" i="51"/>
  <c r="T28" i="51"/>
  <c r="T30" i="52"/>
  <c r="T34" i="52"/>
  <c r="T43" i="52"/>
  <c r="T38" i="52"/>
  <c r="T41" i="52"/>
  <c r="A12" i="44"/>
  <c r="A37" i="44"/>
  <c r="R51" i="44"/>
  <c r="R25" i="44"/>
  <c r="A25" i="45"/>
  <c r="A35" i="45"/>
  <c r="A44" i="45"/>
  <c r="A33" i="45"/>
  <c r="O38" i="45"/>
  <c r="O47" i="45"/>
  <c r="O52" i="45"/>
  <c r="R11" i="46"/>
  <c r="R42" i="46"/>
  <c r="S18" i="48"/>
  <c r="S22" i="48"/>
  <c r="A33" i="48"/>
  <c r="S14" i="48"/>
  <c r="S15" i="48"/>
  <c r="X49" i="29"/>
  <c r="R11" i="47"/>
  <c r="R25" i="47"/>
  <c r="R24" i="47"/>
  <c r="R12" i="47"/>
  <c r="T31" i="51"/>
  <c r="T33" i="51"/>
  <c r="T36" i="51"/>
  <c r="T35" i="51"/>
  <c r="W42" i="51"/>
  <c r="W20" i="52"/>
  <c r="W44" i="52"/>
  <c r="T11" i="51"/>
  <c r="V54" i="25"/>
  <c r="A23" i="43"/>
  <c r="A15" i="43"/>
  <c r="A17" i="43"/>
  <c r="U29" i="43"/>
  <c r="U40" i="43"/>
  <c r="U41" i="43"/>
  <c r="U47" i="43"/>
  <c r="U48" i="43"/>
  <c r="U51" i="43"/>
  <c r="A38" i="44"/>
  <c r="A25" i="44"/>
  <c r="O45" i="44"/>
  <c r="R46" i="44"/>
  <c r="R42" i="44"/>
  <c r="R29" i="44"/>
  <c r="R20" i="44"/>
  <c r="R21" i="45"/>
  <c r="A40" i="45"/>
  <c r="O44" i="45"/>
  <c r="O45" i="45"/>
  <c r="R48" i="45"/>
  <c r="R13" i="46"/>
  <c r="O21" i="46"/>
  <c r="R21" i="46"/>
  <c r="R23" i="46"/>
  <c r="R35" i="46"/>
  <c r="R44" i="47"/>
  <c r="R20" i="47"/>
  <c r="R13" i="47"/>
  <c r="T12" i="51"/>
  <c r="T18" i="51"/>
  <c r="W27" i="51"/>
  <c r="T32" i="51"/>
  <c r="T34" i="51"/>
  <c r="V49" i="25"/>
  <c r="W15" i="41"/>
  <c r="A19" i="48"/>
  <c r="S11" i="48"/>
  <c r="S17" i="48"/>
  <c r="V17" i="48"/>
  <c r="S38" i="48"/>
  <c r="V47" i="48"/>
  <c r="V51" i="48"/>
  <c r="S42" i="48"/>
  <c r="S46" i="48"/>
  <c r="S40" i="48"/>
  <c r="S48" i="48"/>
  <c r="S51" i="48"/>
  <c r="N56" i="51"/>
  <c r="I30" i="51"/>
  <c r="T30" i="51" s="1"/>
  <c r="W47" i="52"/>
  <c r="AE16" i="42"/>
  <c r="AE19" i="42"/>
  <c r="AE20" i="42"/>
  <c r="L56" i="52"/>
  <c r="W15" i="52"/>
  <c r="W48" i="52"/>
  <c r="W24" i="52"/>
  <c r="W46" i="52"/>
  <c r="W34" i="52"/>
  <c r="W49" i="52"/>
  <c r="W26" i="52"/>
  <c r="F56" i="52"/>
  <c r="W54" i="52"/>
  <c r="W37" i="52"/>
  <c r="W14" i="52"/>
  <c r="W33" i="52"/>
  <c r="W28" i="52"/>
  <c r="R56" i="52"/>
  <c r="W52" i="52"/>
  <c r="P56" i="52"/>
  <c r="L56" i="51"/>
  <c r="J56" i="51"/>
  <c r="H56" i="51"/>
  <c r="W17" i="51"/>
  <c r="W21" i="51"/>
  <c r="W53" i="51"/>
  <c r="F56" i="51"/>
  <c r="R56" i="51"/>
  <c r="W41" i="51"/>
  <c r="P56" i="51"/>
  <c r="W19" i="31"/>
  <c r="W26" i="31"/>
  <c r="W24" i="41"/>
  <c r="N56" i="52"/>
  <c r="H56" i="52"/>
  <c r="J56" i="52"/>
  <c r="W29" i="52"/>
  <c r="W21" i="52"/>
  <c r="W12" i="52"/>
  <c r="W39" i="52"/>
  <c r="W40" i="52"/>
  <c r="W30" i="52"/>
  <c r="W36" i="52"/>
  <c r="W11" i="52"/>
  <c r="W41" i="52"/>
  <c r="W45" i="52"/>
  <c r="W16" i="52"/>
  <c r="W42" i="52"/>
  <c r="W53" i="52"/>
  <c r="W22" i="52"/>
  <c r="W17" i="52"/>
  <c r="W32" i="52"/>
  <c r="W19" i="52"/>
  <c r="W51" i="52"/>
  <c r="W27" i="52"/>
  <c r="W38" i="52"/>
  <c r="W43" i="52"/>
  <c r="W50" i="52"/>
  <c r="W35" i="52"/>
  <c r="W25" i="52"/>
  <c r="W23" i="52"/>
  <c r="S41" i="25"/>
  <c r="V22" i="25"/>
  <c r="V19" i="25"/>
  <c r="V48" i="25"/>
  <c r="S45" i="25"/>
  <c r="V38" i="25"/>
  <c r="V32" i="25"/>
  <c r="V35" i="25"/>
  <c r="V46" i="25"/>
  <c r="V13" i="25"/>
  <c r="W20" i="51"/>
  <c r="W48" i="51"/>
  <c r="W28" i="51"/>
  <c r="W26" i="51"/>
  <c r="W54" i="51"/>
  <c r="W36" i="51"/>
  <c r="W24" i="51"/>
  <c r="W50" i="51"/>
  <c r="W47" i="51"/>
  <c r="W16" i="51"/>
  <c r="W18" i="51"/>
  <c r="W29" i="51"/>
  <c r="W43" i="51"/>
  <c r="W15" i="51"/>
  <c r="W40" i="51"/>
  <c r="W12" i="51"/>
  <c r="W14" i="51"/>
  <c r="W23" i="51"/>
  <c r="W32" i="51"/>
  <c r="W38" i="51"/>
  <c r="W45" i="51"/>
  <c r="W52" i="51"/>
  <c r="W49" i="51"/>
  <c r="W37" i="51"/>
  <c r="W44" i="51"/>
  <c r="W13" i="51"/>
  <c r="W22" i="51"/>
  <c r="W31" i="51"/>
  <c r="W51" i="51"/>
  <c r="W11" i="51"/>
  <c r="W19" i="51"/>
  <c r="W25" i="51"/>
  <c r="W30" i="51"/>
  <c r="W39" i="51"/>
  <c r="W46" i="51"/>
  <c r="S53" i="48"/>
  <c r="S37" i="48"/>
  <c r="S41" i="48"/>
  <c r="S45" i="48"/>
  <c r="S52" i="48"/>
  <c r="A14" i="48"/>
  <c r="A28" i="48"/>
  <c r="V17" i="25"/>
  <c r="V51" i="25"/>
  <c r="V43" i="25"/>
  <c r="V40" i="25"/>
  <c r="V53" i="25"/>
  <c r="V28" i="25"/>
  <c r="V24" i="25"/>
  <c r="V42" i="25"/>
  <c r="V11" i="25"/>
  <c r="A18" i="48"/>
  <c r="A13" i="48"/>
  <c r="A15" i="48"/>
  <c r="A31" i="48"/>
  <c r="A11" i="48"/>
  <c r="A12" i="48"/>
  <c r="A25" i="48"/>
  <c r="A34" i="48"/>
  <c r="V21" i="48"/>
  <c r="A17" i="48"/>
  <c r="A35" i="48"/>
  <c r="A20" i="48"/>
  <c r="A21" i="48"/>
  <c r="A23" i="48"/>
  <c r="A30" i="48"/>
  <c r="A22" i="48"/>
  <c r="A16" i="48"/>
  <c r="A24" i="48"/>
  <c r="A27" i="48"/>
  <c r="A29" i="48"/>
  <c r="A36" i="48"/>
  <c r="V13" i="48"/>
  <c r="V20" i="48"/>
  <c r="A32" i="48"/>
  <c r="V26" i="48"/>
  <c r="V32" i="48"/>
  <c r="S31" i="48"/>
  <c r="V30" i="48"/>
  <c r="S54" i="48"/>
  <c r="S50" i="48"/>
  <c r="S39" i="48"/>
  <c r="S34" i="48"/>
  <c r="S30" i="48"/>
  <c r="J32" i="48"/>
  <c r="S32" i="48" s="1"/>
  <c r="AE44" i="42"/>
  <c r="AE35" i="42"/>
  <c r="AE32" i="42"/>
  <c r="W16" i="41"/>
  <c r="W20" i="41"/>
  <c r="W14" i="41"/>
  <c r="W19" i="41"/>
  <c r="W13" i="41"/>
  <c r="W21" i="41"/>
  <c r="W18" i="41"/>
  <c r="W17" i="41"/>
  <c r="R27" i="45"/>
  <c r="A16" i="45"/>
  <c r="A46" i="45"/>
  <c r="R41" i="45"/>
  <c r="A37" i="45"/>
  <c r="A32" i="45"/>
  <c r="R26" i="45"/>
  <c r="A18" i="45"/>
  <c r="A28" i="45"/>
  <c r="A22" i="45"/>
  <c r="A29" i="45"/>
  <c r="O37" i="45"/>
  <c r="A30" i="45"/>
  <c r="R34" i="45"/>
  <c r="R18" i="45"/>
  <c r="R24" i="45"/>
  <c r="R39" i="45"/>
  <c r="O51" i="45"/>
  <c r="O50" i="45"/>
  <c r="O49" i="45"/>
  <c r="O33" i="45"/>
  <c r="O36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O13" i="44"/>
  <c r="O22" i="44"/>
  <c r="O29" i="44"/>
  <c r="O31" i="44"/>
  <c r="O38" i="44"/>
  <c r="O16" i="46"/>
  <c r="E54" i="46"/>
  <c r="M54" i="46"/>
  <c r="K54" i="46"/>
  <c r="O19" i="46"/>
  <c r="O14" i="46"/>
  <c r="O39" i="46"/>
  <c r="O35" i="46"/>
  <c r="O17" i="46"/>
  <c r="O42" i="46"/>
  <c r="O32" i="46"/>
  <c r="O27" i="46"/>
  <c r="O13" i="46"/>
  <c r="X53" i="29"/>
  <c r="U23" i="43"/>
  <c r="A14" i="43"/>
  <c r="U27" i="43"/>
  <c r="X14" i="43"/>
  <c r="U20" i="43"/>
  <c r="X25" i="43"/>
  <c r="X21" i="43"/>
  <c r="X30" i="43"/>
  <c r="X13" i="43"/>
  <c r="A19" i="43"/>
  <c r="A26" i="43"/>
  <c r="A29" i="43"/>
  <c r="A18" i="43"/>
  <c r="X22" i="43"/>
  <c r="A25" i="43"/>
  <c r="A24" i="43"/>
  <c r="U24" i="43"/>
  <c r="U22" i="43"/>
  <c r="U17" i="43"/>
  <c r="U14" i="43"/>
  <c r="U16" i="43"/>
  <c r="U30" i="43"/>
  <c r="U11" i="43"/>
  <c r="U18" i="43"/>
  <c r="U15" i="43"/>
  <c r="U19" i="43"/>
  <c r="U25" i="43"/>
  <c r="U26" i="43"/>
  <c r="U21" i="43"/>
  <c r="O47" i="42"/>
  <c r="AE23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S29" i="48"/>
  <c r="S28" i="48"/>
  <c r="S27" i="48"/>
  <c r="S23" i="48"/>
  <c r="S36" i="48"/>
  <c r="S49" i="48"/>
  <c r="S25" i="48"/>
  <c r="S43" i="48"/>
  <c r="S44" i="48"/>
  <c r="S47" i="48"/>
  <c r="AE45" i="42"/>
  <c r="AE39" i="42"/>
  <c r="AE36" i="42"/>
  <c r="AE37" i="42"/>
  <c r="AE31" i="42"/>
  <c r="AE42" i="42"/>
  <c r="AE34" i="42"/>
  <c r="AE41" i="42"/>
  <c r="AE43" i="42"/>
  <c r="AE38" i="42"/>
  <c r="AE40" i="42"/>
  <c r="O21" i="45"/>
  <c r="AE29" i="42"/>
  <c r="I47" i="42"/>
  <c r="AE28" i="42"/>
  <c r="AH23" i="42"/>
  <c r="AE22" i="42"/>
  <c r="AE33" i="42"/>
  <c r="AE30" i="42"/>
  <c r="AE26" i="42"/>
  <c r="AE27" i="42"/>
  <c r="AE24" i="42"/>
  <c r="AH17" i="42"/>
  <c r="S35" i="48"/>
  <c r="S24" i="48"/>
  <c r="S33" i="48"/>
  <c r="E56" i="48"/>
  <c r="X16" i="43"/>
  <c r="O27" i="45"/>
  <c r="O40" i="45"/>
  <c r="O31" i="45"/>
  <c r="O30" i="45"/>
  <c r="O15" i="45"/>
  <c r="O32" i="45"/>
  <c r="O42" i="45"/>
  <c r="O12" i="45"/>
  <c r="O22" i="45"/>
  <c r="O29" i="45"/>
  <c r="O13" i="45"/>
  <c r="O19" i="45"/>
  <c r="O34" i="45"/>
  <c r="O16" i="45"/>
  <c r="O14" i="45"/>
  <c r="O17" i="45"/>
  <c r="O25" i="45"/>
  <c r="O24" i="45"/>
  <c r="O41" i="45"/>
  <c r="O39" i="45"/>
  <c r="O23" i="45"/>
  <c r="O11" i="45"/>
  <c r="O46" i="45"/>
  <c r="O18" i="45"/>
  <c r="O35" i="45"/>
  <c r="O28" i="45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V23" i="48"/>
  <c r="M56" i="48"/>
  <c r="V25" i="48"/>
  <c r="V31" i="48"/>
  <c r="V12" i="48"/>
  <c r="V35" i="48"/>
  <c r="Q56" i="48"/>
  <c r="O56" i="48"/>
  <c r="V11" i="48"/>
  <c r="V18" i="48"/>
  <c r="V39" i="48"/>
  <c r="V42" i="48"/>
  <c r="V45" i="48"/>
  <c r="I56" i="48"/>
  <c r="V46" i="48"/>
  <c r="V33" i="48"/>
  <c r="V28" i="48"/>
  <c r="G56" i="48"/>
  <c r="V54" i="48"/>
  <c r="V24" i="48"/>
  <c r="V36" i="48"/>
  <c r="V37" i="48"/>
  <c r="V34" i="48"/>
  <c r="V49" i="48"/>
  <c r="K56" i="48"/>
  <c r="X47" i="43"/>
  <c r="O26" i="45"/>
  <c r="G54" i="45"/>
  <c r="M54" i="47"/>
  <c r="G54" i="46"/>
  <c r="K54" i="44"/>
  <c r="O17" i="44"/>
  <c r="O15" i="44"/>
  <c r="O34" i="44"/>
  <c r="O28" i="44"/>
  <c r="O40" i="44"/>
  <c r="O16" i="44"/>
  <c r="O44" i="44"/>
  <c r="O27" i="44"/>
  <c r="O33" i="44"/>
  <c r="O20" i="44"/>
  <c r="O39" i="44"/>
  <c r="O52" i="44"/>
  <c r="O49" i="44"/>
  <c r="O21" i="44"/>
  <c r="O11" i="44"/>
  <c r="O48" i="44"/>
  <c r="O32" i="44"/>
  <c r="O25" i="44"/>
  <c r="O14" i="44"/>
  <c r="O47" i="44"/>
  <c r="O36" i="44"/>
  <c r="O30" i="44"/>
  <c r="O12" i="44"/>
  <c r="O51" i="44"/>
  <c r="O42" i="44"/>
  <c r="O18" i="44"/>
  <c r="O19" i="44"/>
  <c r="O46" i="44"/>
  <c r="O26" i="44"/>
  <c r="O37" i="44"/>
  <c r="O24" i="44"/>
  <c r="O35" i="44"/>
  <c r="O23" i="44"/>
  <c r="O41" i="44"/>
  <c r="O48" i="46"/>
  <c r="O34" i="46"/>
  <c r="O23" i="46"/>
  <c r="O37" i="46"/>
  <c r="O30" i="46"/>
  <c r="O51" i="46"/>
  <c r="O12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V19" i="48"/>
  <c r="V52" i="48"/>
  <c r="V29" i="48"/>
  <c r="V38" i="48"/>
  <c r="V27" i="48"/>
  <c r="V14" i="48"/>
  <c r="V40" i="48"/>
  <c r="V16" i="48"/>
  <c r="V43" i="48"/>
  <c r="V15" i="48"/>
  <c r="V48" i="48"/>
  <c r="V22" i="48"/>
  <c r="V53" i="48"/>
  <c r="R25" i="45"/>
  <c r="M54" i="45"/>
  <c r="K54" i="45"/>
  <c r="E54" i="45"/>
  <c r="I54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O15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2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9" i="30"/>
  <c r="V29" i="30"/>
  <c r="L29" i="30"/>
  <c r="H29" i="30"/>
  <c r="AE28" i="30"/>
  <c r="AB40" i="30"/>
  <c r="V40" i="30"/>
  <c r="L40" i="30"/>
  <c r="H40" i="30"/>
  <c r="AE31" i="30"/>
  <c r="AB33" i="30"/>
  <c r="V33" i="30"/>
  <c r="L33" i="30"/>
  <c r="H33" i="30"/>
  <c r="AE19" i="30"/>
  <c r="AB23" i="30"/>
  <c r="V23" i="30"/>
  <c r="L23" i="30"/>
  <c r="H23" i="30"/>
  <c r="AE24" i="30"/>
  <c r="AB34" i="30"/>
  <c r="V34" i="30"/>
  <c r="L34" i="30"/>
  <c r="AE40" i="30"/>
  <c r="AB31" i="30"/>
  <c r="V31" i="30"/>
  <c r="L31" i="30"/>
  <c r="AE26" i="30"/>
  <c r="AB30" i="30"/>
  <c r="V30" i="30"/>
  <c r="L30" i="30"/>
  <c r="AE20" i="30"/>
  <c r="AB32" i="30"/>
  <c r="V32" i="30"/>
  <c r="L32" i="30"/>
  <c r="AE22" i="30"/>
  <c r="AB45" i="30"/>
  <c r="V45" i="30"/>
  <c r="L45" i="30"/>
  <c r="AE34" i="30"/>
  <c r="AB35" i="30"/>
  <c r="V35" i="30"/>
  <c r="L35" i="30"/>
  <c r="T13" i="19"/>
  <c r="A13" i="19" s="1"/>
  <c r="T21" i="19"/>
  <c r="A21" i="19" s="1"/>
  <c r="T11" i="19"/>
  <c r="A11" i="19" s="1"/>
  <c r="T26" i="19"/>
  <c r="A26" i="19" s="1"/>
  <c r="T22" i="19"/>
  <c r="A22" i="19" s="1"/>
  <c r="T34" i="19"/>
  <c r="A34" i="19" s="1"/>
  <c r="T18" i="19"/>
  <c r="A18" i="19" s="1"/>
  <c r="T19" i="19"/>
  <c r="A19" i="19" s="1"/>
  <c r="T20" i="19"/>
  <c r="A20" i="19" s="1"/>
  <c r="T15" i="19"/>
  <c r="A15" i="19" s="1"/>
  <c r="T25" i="19"/>
  <c r="A25" i="19" s="1"/>
  <c r="T17" i="19"/>
  <c r="A17" i="19" s="1"/>
  <c r="T30" i="19"/>
  <c r="A30" i="19" s="1"/>
  <c r="T32" i="19"/>
  <c r="A32" i="19" s="1"/>
  <c r="T31" i="19"/>
  <c r="A31" i="19" s="1"/>
  <c r="T28" i="19"/>
  <c r="A28" i="19" s="1"/>
  <c r="L11" i="35"/>
  <c r="T47" i="25"/>
  <c r="A47" i="25" s="1"/>
  <c r="R47" i="25"/>
  <c r="L47" i="25"/>
  <c r="J47" i="25"/>
  <c r="H47" i="25"/>
  <c r="T36" i="25"/>
  <c r="A36" i="25" s="1"/>
  <c r="R36" i="25"/>
  <c r="N36" i="25"/>
  <c r="L36" i="25"/>
  <c r="J36" i="25"/>
  <c r="H36" i="25"/>
  <c r="T53" i="25"/>
  <c r="A53" i="25" s="1"/>
  <c r="R53" i="25"/>
  <c r="L53" i="25"/>
  <c r="H53" i="25"/>
  <c r="N12" i="25"/>
  <c r="N17" i="25"/>
  <c r="N18" i="25"/>
  <c r="N28" i="25"/>
  <c r="N30" i="25"/>
  <c r="N33" i="25"/>
  <c r="N23" i="25"/>
  <c r="N19" i="25"/>
  <c r="N24" i="25"/>
  <c r="N35" i="25"/>
  <c r="N38" i="25"/>
  <c r="N25" i="25"/>
  <c r="N21" i="25"/>
  <c r="N29" i="25"/>
  <c r="N32" i="25"/>
  <c r="N13" i="25"/>
  <c r="N14" i="25"/>
  <c r="N16" i="25"/>
  <c r="N22" i="25"/>
  <c r="N52" i="25"/>
  <c r="N27" i="25"/>
  <c r="N20" i="25"/>
  <c r="N15" i="25"/>
  <c r="N34" i="25"/>
  <c r="N31" i="25"/>
  <c r="N40" i="25"/>
  <c r="N26" i="25"/>
  <c r="N11" i="25"/>
  <c r="P11" i="31"/>
  <c r="R24" i="31"/>
  <c r="Y22" i="31"/>
  <c r="A22" i="31" s="1"/>
  <c r="V22" i="31"/>
  <c r="R22" i="31"/>
  <c r="L22" i="31"/>
  <c r="H22" i="31"/>
  <c r="Y17" i="31"/>
  <c r="V20" i="31"/>
  <c r="R20" i="31"/>
  <c r="L20" i="31"/>
  <c r="H20" i="31"/>
  <c r="Y16" i="31"/>
  <c r="V23" i="31"/>
  <c r="R23" i="31"/>
  <c r="L23" i="31"/>
  <c r="H23" i="31"/>
  <c r="K17" i="36"/>
  <c r="K14" i="36"/>
  <c r="L12" i="25"/>
  <c r="L17" i="25"/>
  <c r="L30" i="25"/>
  <c r="L18" i="25"/>
  <c r="L23" i="25"/>
  <c r="L28" i="25"/>
  <c r="L19" i="25"/>
  <c r="L35" i="25"/>
  <c r="L24" i="25"/>
  <c r="L33" i="25"/>
  <c r="L38" i="25"/>
  <c r="L21" i="25"/>
  <c r="L25" i="25"/>
  <c r="L29" i="25"/>
  <c r="L22" i="25"/>
  <c r="L16" i="25"/>
  <c r="L13" i="25"/>
  <c r="L14" i="25"/>
  <c r="L32" i="25"/>
  <c r="L52" i="25"/>
  <c r="L27" i="25"/>
  <c r="L20" i="25"/>
  <c r="L15" i="25"/>
  <c r="L34" i="25"/>
  <c r="L37" i="25"/>
  <c r="L44" i="25"/>
  <c r="L46" i="25"/>
  <c r="L31" i="25"/>
  <c r="L50" i="25"/>
  <c r="L43" i="25"/>
  <c r="L51" i="25"/>
  <c r="L42" i="25"/>
  <c r="L48" i="25"/>
  <c r="L40" i="25"/>
  <c r="L26" i="25"/>
  <c r="L54" i="25"/>
  <c r="L49" i="25"/>
  <c r="L11" i="25"/>
  <c r="H48" i="25"/>
  <c r="AC30" i="30" l="1"/>
  <c r="AC23" i="30"/>
  <c r="A34" i="30"/>
  <c r="A31" i="30"/>
  <c r="A40" i="30"/>
  <c r="W22" i="31"/>
  <c r="S47" i="25"/>
  <c r="S36" i="25"/>
  <c r="S53" i="25"/>
  <c r="AC45" i="30"/>
  <c r="AC35" i="30"/>
  <c r="AC31" i="30"/>
  <c r="AC32" i="30"/>
  <c r="AC34" i="30"/>
  <c r="W23" i="31"/>
  <c r="W20" i="31"/>
  <c r="AC40" i="30"/>
  <c r="AC33" i="30"/>
  <c r="H27" i="31" l="1"/>
  <c r="F59" i="29"/>
  <c r="N34" i="36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N28" i="34" s="1"/>
  <c r="I27" i="34"/>
  <c r="N27" i="34" s="1"/>
  <c r="I26" i="34"/>
  <c r="N26" i="34" s="1"/>
  <c r="I25" i="34"/>
  <c r="I24" i="34"/>
  <c r="I23" i="34"/>
  <c r="I22" i="34"/>
  <c r="I21" i="34"/>
  <c r="I20" i="34"/>
  <c r="N20" i="34" s="1"/>
  <c r="I19" i="34"/>
  <c r="N19" i="34" s="1"/>
  <c r="I18" i="34"/>
  <c r="N18" i="34" s="1"/>
  <c r="I17" i="34"/>
  <c r="I16" i="34"/>
  <c r="I15" i="34"/>
  <c r="I14" i="34"/>
  <c r="N14" i="34" s="1"/>
  <c r="I13" i="34"/>
  <c r="N13" i="34" s="1"/>
  <c r="I12" i="34"/>
  <c r="N12" i="34" s="1"/>
  <c r="I11" i="34"/>
  <c r="N11" i="34" s="1"/>
  <c r="O34" i="35"/>
  <c r="K34" i="35"/>
  <c r="I34" i="35"/>
  <c r="G34" i="35"/>
  <c r="E34" i="35"/>
  <c r="P33" i="35"/>
  <c r="J33" i="35"/>
  <c r="H33" i="35"/>
  <c r="F33" i="35"/>
  <c r="P32" i="35"/>
  <c r="J32" i="35"/>
  <c r="H32" i="35"/>
  <c r="F32" i="35"/>
  <c r="P31" i="35"/>
  <c r="J31" i="35"/>
  <c r="H31" i="35"/>
  <c r="F31" i="35"/>
  <c r="P30" i="35"/>
  <c r="J30" i="35"/>
  <c r="H30" i="35"/>
  <c r="F30" i="35"/>
  <c r="P29" i="35"/>
  <c r="J29" i="35"/>
  <c r="H29" i="35"/>
  <c r="F29" i="35"/>
  <c r="P28" i="35"/>
  <c r="J28" i="35"/>
  <c r="H28" i="35"/>
  <c r="F28" i="35"/>
  <c r="P27" i="35"/>
  <c r="J27" i="35"/>
  <c r="H27" i="35"/>
  <c r="F27" i="35"/>
  <c r="P26" i="35"/>
  <c r="J26" i="35"/>
  <c r="H26" i="35"/>
  <c r="F26" i="35"/>
  <c r="P25" i="35"/>
  <c r="J25" i="35"/>
  <c r="H25" i="35"/>
  <c r="F25" i="35"/>
  <c r="P24" i="35"/>
  <c r="J24" i="35"/>
  <c r="H24" i="35"/>
  <c r="F24" i="35"/>
  <c r="P23" i="35"/>
  <c r="J23" i="35"/>
  <c r="H23" i="35"/>
  <c r="F23" i="35"/>
  <c r="P22" i="35"/>
  <c r="J22" i="35"/>
  <c r="H22" i="35"/>
  <c r="F22" i="35"/>
  <c r="P14" i="35"/>
  <c r="J14" i="35"/>
  <c r="H14" i="35"/>
  <c r="F14" i="35"/>
  <c r="P15" i="35"/>
  <c r="J15" i="35"/>
  <c r="H15" i="35"/>
  <c r="F15" i="35"/>
  <c r="J17" i="35"/>
  <c r="H17" i="35"/>
  <c r="F17" i="35"/>
  <c r="P16" i="35"/>
  <c r="J16" i="35"/>
  <c r="H16" i="35"/>
  <c r="F16" i="35"/>
  <c r="R19" i="35"/>
  <c r="A19" i="35" s="1"/>
  <c r="P19" i="35"/>
  <c r="J19" i="35"/>
  <c r="H19" i="35"/>
  <c r="F19" i="35"/>
  <c r="R20" i="35"/>
  <c r="A20" i="35" s="1"/>
  <c r="P20" i="35"/>
  <c r="J20" i="35"/>
  <c r="H20" i="35"/>
  <c r="F20" i="35"/>
  <c r="R13" i="35"/>
  <c r="A13" i="35" s="1"/>
  <c r="P13" i="35"/>
  <c r="J13" i="35"/>
  <c r="H13" i="35"/>
  <c r="F13" i="35"/>
  <c r="R18" i="35"/>
  <c r="A18" i="35" s="1"/>
  <c r="P18" i="35"/>
  <c r="H18" i="35"/>
  <c r="R12" i="35"/>
  <c r="A12" i="35" s="1"/>
  <c r="P12" i="35"/>
  <c r="J12" i="35"/>
  <c r="H12" i="35"/>
  <c r="F12" i="35"/>
  <c r="R21" i="35"/>
  <c r="A21" i="35" s="1"/>
  <c r="P21" i="35"/>
  <c r="J21" i="35"/>
  <c r="H21" i="35"/>
  <c r="F21" i="35"/>
  <c r="R11" i="35"/>
  <c r="A11" i="35" s="1"/>
  <c r="P11" i="35"/>
  <c r="J11" i="35"/>
  <c r="H11" i="35"/>
  <c r="F11" i="35"/>
  <c r="R33" i="19"/>
  <c r="L12" i="19"/>
  <c r="S12" i="19" s="1"/>
  <c r="L33" i="19"/>
  <c r="L14" i="19"/>
  <c r="S14" i="19" s="1"/>
  <c r="L16" i="19"/>
  <c r="S16" i="19" s="1"/>
  <c r="L27" i="19"/>
  <c r="S27" i="19" s="1"/>
  <c r="L13" i="19"/>
  <c r="S13" i="19" s="1"/>
  <c r="L21" i="19"/>
  <c r="S21" i="19" s="1"/>
  <c r="L11" i="19"/>
  <c r="S11" i="19" s="1"/>
  <c r="L26" i="19"/>
  <c r="S26" i="19" s="1"/>
  <c r="L22" i="19"/>
  <c r="S22" i="19" s="1"/>
  <c r="L34" i="19"/>
  <c r="S34" i="19" s="1"/>
  <c r="L18" i="19"/>
  <c r="S18" i="19" s="1"/>
  <c r="L19" i="19"/>
  <c r="S19" i="19" s="1"/>
  <c r="L20" i="19"/>
  <c r="S20" i="19" s="1"/>
  <c r="L15" i="19"/>
  <c r="S15" i="19" s="1"/>
  <c r="L25" i="19"/>
  <c r="S25" i="19" s="1"/>
  <c r="L17" i="19"/>
  <c r="S17" i="19" s="1"/>
  <c r="L30" i="19"/>
  <c r="S30" i="19" s="1"/>
  <c r="L32" i="19"/>
  <c r="S32" i="19" s="1"/>
  <c r="L31" i="19"/>
  <c r="S31" i="19" s="1"/>
  <c r="L28" i="19"/>
  <c r="S28" i="19" s="1"/>
  <c r="V12" i="30"/>
  <c r="V16" i="30"/>
  <c r="V19" i="30"/>
  <c r="V18" i="30"/>
  <c r="V25" i="30"/>
  <c r="V27" i="30"/>
  <c r="V22" i="30"/>
  <c r="V17" i="30"/>
  <c r="V24" i="30"/>
  <c r="V21" i="30"/>
  <c r="V28" i="30"/>
  <c r="AC28" i="30" s="1"/>
  <c r="V26" i="30"/>
  <c r="AC26" i="30" s="1"/>
  <c r="V39" i="30"/>
  <c r="V14" i="30"/>
  <c r="V15" i="30"/>
  <c r="V11" i="30"/>
  <c r="V37" i="30"/>
  <c r="V36" i="30"/>
  <c r="V38" i="30"/>
  <c r="V41" i="30"/>
  <c r="V43" i="30"/>
  <c r="V42" i="30"/>
  <c r="J11" i="25"/>
  <c r="S11" i="25" s="1"/>
  <c r="J12" i="25"/>
  <c r="S12" i="25" s="1"/>
  <c r="J38" i="25"/>
  <c r="J30" i="25"/>
  <c r="J35" i="25"/>
  <c r="J18" i="25"/>
  <c r="S18" i="25" s="1"/>
  <c r="J28" i="25"/>
  <c r="J23" i="25"/>
  <c r="S23" i="25" s="1"/>
  <c r="J33" i="25"/>
  <c r="J25" i="25"/>
  <c r="S25" i="25" s="1"/>
  <c r="J21" i="25"/>
  <c r="S21" i="25" s="1"/>
  <c r="J16" i="25"/>
  <c r="S16" i="25" s="1"/>
  <c r="J14" i="25"/>
  <c r="S14" i="25" s="1"/>
  <c r="J19" i="25"/>
  <c r="S19" i="25" s="1"/>
  <c r="J34" i="25"/>
  <c r="J29" i="25"/>
  <c r="J15" i="25"/>
  <c r="J52" i="25"/>
  <c r="J51" i="25"/>
  <c r="J13" i="25"/>
  <c r="S13" i="25" s="1"/>
  <c r="J42" i="25"/>
  <c r="J31" i="25"/>
  <c r="S31" i="25" s="1"/>
  <c r="J48" i="25"/>
  <c r="J22" i="25"/>
  <c r="S22" i="25" s="1"/>
  <c r="J32" i="25"/>
  <c r="S32" i="25" s="1"/>
  <c r="J27" i="25"/>
  <c r="J20" i="25"/>
  <c r="J39" i="25"/>
  <c r="J37" i="25"/>
  <c r="J44" i="25"/>
  <c r="J46" i="25"/>
  <c r="J50" i="25"/>
  <c r="J43" i="25"/>
  <c r="J40" i="25"/>
  <c r="J26" i="25"/>
  <c r="J49" i="25"/>
  <c r="T11" i="29"/>
  <c r="T13" i="29"/>
  <c r="T15" i="29"/>
  <c r="T20" i="29"/>
  <c r="T12" i="29"/>
  <c r="T18" i="29"/>
  <c r="T22" i="29"/>
  <c r="T14" i="29"/>
  <c r="T16" i="29"/>
  <c r="T46" i="29"/>
  <c r="T19" i="29"/>
  <c r="T58" i="29"/>
  <c r="T31" i="29"/>
  <c r="P11" i="29"/>
  <c r="P13" i="29"/>
  <c r="P15" i="29"/>
  <c r="P20" i="29"/>
  <c r="P12" i="29"/>
  <c r="U12" i="29" s="1"/>
  <c r="P18" i="29"/>
  <c r="P22" i="29"/>
  <c r="P14" i="29"/>
  <c r="P16" i="29"/>
  <c r="P46" i="29"/>
  <c r="P19" i="29"/>
  <c r="P58" i="29"/>
  <c r="P31" i="29"/>
  <c r="N11" i="29"/>
  <c r="N13" i="29"/>
  <c r="N15" i="29"/>
  <c r="N20" i="29"/>
  <c r="N12" i="29"/>
  <c r="N18" i="29"/>
  <c r="U18" i="29" s="1"/>
  <c r="N22" i="29"/>
  <c r="N14" i="29"/>
  <c r="N16" i="29"/>
  <c r="N46" i="29"/>
  <c r="N19" i="29"/>
  <c r="N58" i="29"/>
  <c r="L11" i="29"/>
  <c r="J11" i="29"/>
  <c r="F11" i="29"/>
  <c r="F13" i="29"/>
  <c r="F15" i="29"/>
  <c r="F20" i="29"/>
  <c r="U20" i="29" s="1"/>
  <c r="F12" i="29"/>
  <c r="F18" i="29"/>
  <c r="F22" i="29"/>
  <c r="F14" i="29"/>
  <c r="F16" i="29"/>
  <c r="F46" i="29"/>
  <c r="F19" i="29"/>
  <c r="E60" i="29"/>
  <c r="F50" i="29"/>
  <c r="F36" i="29"/>
  <c r="F42" i="29"/>
  <c r="F43" i="29"/>
  <c r="F28" i="29"/>
  <c r="F24" i="29"/>
  <c r="F30" i="29"/>
  <c r="F29" i="29"/>
  <c r="F48" i="29"/>
  <c r="F23" i="29"/>
  <c r="F32" i="29"/>
  <c r="F35" i="29"/>
  <c r="F49" i="29"/>
  <c r="F38" i="29"/>
  <c r="F37" i="29"/>
  <c r="F26" i="29"/>
  <c r="F27" i="29"/>
  <c r="F44" i="29"/>
  <c r="F17" i="29"/>
  <c r="F33" i="29"/>
  <c r="F34" i="29"/>
  <c r="F25" i="29"/>
  <c r="F21" i="29"/>
  <c r="F51" i="29"/>
  <c r="F45" i="29"/>
  <c r="F39" i="29"/>
  <c r="U39" i="29" s="1"/>
  <c r="F53" i="29"/>
  <c r="N50" i="29"/>
  <c r="N36" i="29"/>
  <c r="U36" i="29" s="1"/>
  <c r="N42" i="29"/>
  <c r="N43" i="29"/>
  <c r="N28" i="29"/>
  <c r="N24" i="29"/>
  <c r="U24" i="29" s="1"/>
  <c r="N29" i="29"/>
  <c r="N48" i="29"/>
  <c r="N59" i="29"/>
  <c r="N23" i="29"/>
  <c r="U23" i="29" s="1"/>
  <c r="N32" i="29"/>
  <c r="N35" i="29"/>
  <c r="N49" i="29"/>
  <c r="N38" i="29"/>
  <c r="N37" i="29"/>
  <c r="N26" i="29"/>
  <c r="U26" i="29" s="1"/>
  <c r="N27" i="29"/>
  <c r="N44" i="29"/>
  <c r="N17" i="29"/>
  <c r="N33" i="29"/>
  <c r="N34" i="29"/>
  <c r="N25" i="29"/>
  <c r="N21" i="29"/>
  <c r="N51" i="29"/>
  <c r="N45" i="29"/>
  <c r="N39" i="29"/>
  <c r="N40" i="29"/>
  <c r="N53" i="29"/>
  <c r="N31" i="29"/>
  <c r="P50" i="29"/>
  <c r="P36" i="29"/>
  <c r="P42" i="29"/>
  <c r="P43" i="29"/>
  <c r="P28" i="29"/>
  <c r="P24" i="29"/>
  <c r="P30" i="29"/>
  <c r="P29" i="29"/>
  <c r="P48" i="29"/>
  <c r="P59" i="29"/>
  <c r="P23" i="29"/>
  <c r="P32" i="29"/>
  <c r="P35" i="29"/>
  <c r="P49" i="29"/>
  <c r="P38" i="29"/>
  <c r="P37" i="29"/>
  <c r="P27" i="29"/>
  <c r="P44" i="29"/>
  <c r="P17" i="29"/>
  <c r="P33" i="29"/>
  <c r="P34" i="29"/>
  <c r="P25" i="29"/>
  <c r="P21" i="29"/>
  <c r="P51" i="29"/>
  <c r="P39" i="29"/>
  <c r="P40" i="29"/>
  <c r="P53" i="29"/>
  <c r="T50" i="29"/>
  <c r="T36" i="29"/>
  <c r="T42" i="29"/>
  <c r="T43" i="29"/>
  <c r="T28" i="29"/>
  <c r="T24" i="29"/>
  <c r="T30" i="29"/>
  <c r="T29" i="29"/>
  <c r="T48" i="29"/>
  <c r="T59" i="29"/>
  <c r="T23" i="29"/>
  <c r="T32" i="29"/>
  <c r="T35" i="29"/>
  <c r="T49" i="29"/>
  <c r="T38" i="29"/>
  <c r="T37" i="29"/>
  <c r="T26" i="29"/>
  <c r="T27" i="29"/>
  <c r="T44" i="29"/>
  <c r="T17" i="29"/>
  <c r="T33" i="29"/>
  <c r="T34" i="29"/>
  <c r="T25" i="29"/>
  <c r="T21" i="29"/>
  <c r="T51" i="29"/>
  <c r="T45" i="29"/>
  <c r="T39" i="29"/>
  <c r="T40" i="29"/>
  <c r="T53" i="29"/>
  <c r="W12" i="29"/>
  <c r="W18" i="29"/>
  <c r="W35" i="29"/>
  <c r="W37" i="29"/>
  <c r="W39" i="29"/>
  <c r="W40" i="29"/>
  <c r="W47" i="29"/>
  <c r="W23" i="29"/>
  <c r="W25" i="29"/>
  <c r="W27" i="29"/>
  <c r="W41" i="29"/>
  <c r="W46" i="29"/>
  <c r="W32" i="29"/>
  <c r="W44" i="29"/>
  <c r="W34" i="29"/>
  <c r="W33" i="29"/>
  <c r="W36" i="29"/>
  <c r="W51" i="29"/>
  <c r="W59" i="29"/>
  <c r="W16" i="29"/>
  <c r="W19" i="29"/>
  <c r="W38" i="29"/>
  <c r="W20" i="29"/>
  <c r="A56" i="29" s="1"/>
  <c r="W28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R17" i="25"/>
  <c r="R12" i="25"/>
  <c r="R30" i="25"/>
  <c r="R35" i="25"/>
  <c r="R38" i="25"/>
  <c r="R23" i="25"/>
  <c r="R18" i="25"/>
  <c r="R28" i="25"/>
  <c r="R33" i="25"/>
  <c r="R25" i="25"/>
  <c r="R24" i="25"/>
  <c r="R21" i="25"/>
  <c r="R16" i="25"/>
  <c r="R14" i="25"/>
  <c r="R19" i="25"/>
  <c r="R34" i="25"/>
  <c r="R29" i="25"/>
  <c r="R15" i="25"/>
  <c r="R52" i="25"/>
  <c r="R51" i="25"/>
  <c r="R13" i="25"/>
  <c r="R42" i="25"/>
  <c r="R31" i="25"/>
  <c r="R48" i="25"/>
  <c r="R22" i="25"/>
  <c r="R32" i="25"/>
  <c r="R27" i="25"/>
  <c r="R20" i="25"/>
  <c r="R39" i="25"/>
  <c r="R37" i="25"/>
  <c r="R44" i="25"/>
  <c r="R46" i="25"/>
  <c r="R50" i="25"/>
  <c r="R43" i="25"/>
  <c r="R40" i="25"/>
  <c r="R26" i="25"/>
  <c r="R54" i="25"/>
  <c r="R49" i="25"/>
  <c r="R11" i="25"/>
  <c r="V11" i="31"/>
  <c r="AB27" i="30"/>
  <c r="AB21" i="30"/>
  <c r="AC21" i="30" s="1"/>
  <c r="AB28" i="30"/>
  <c r="AB26" i="30"/>
  <c r="AB39" i="30"/>
  <c r="AB14" i="30"/>
  <c r="AC14" i="30" s="1"/>
  <c r="AB20" i="30"/>
  <c r="AB15" i="30"/>
  <c r="AB11" i="30"/>
  <c r="AB37" i="30"/>
  <c r="AB36" i="30"/>
  <c r="AB38" i="30"/>
  <c r="AB41" i="30"/>
  <c r="AB43" i="30"/>
  <c r="AB44" i="30"/>
  <c r="AB42" i="30"/>
  <c r="AB19" i="30"/>
  <c r="AB24" i="30"/>
  <c r="Z13" i="30"/>
  <c r="Z16" i="30"/>
  <c r="Z19" i="30"/>
  <c r="Z12" i="30"/>
  <c r="V13" i="30"/>
  <c r="U46" i="30"/>
  <c r="L29" i="19"/>
  <c r="S29" i="19" s="1"/>
  <c r="N33" i="19"/>
  <c r="K35" i="19"/>
  <c r="M35" i="19"/>
  <c r="O60" i="29"/>
  <c r="AE43" i="30"/>
  <c r="A43" i="30" s="1"/>
  <c r="L43" i="30"/>
  <c r="AE41" i="30"/>
  <c r="A41" i="30" s="1"/>
  <c r="L41" i="30"/>
  <c r="AE37" i="30"/>
  <c r="A37" i="30" s="1"/>
  <c r="L37" i="30"/>
  <c r="H37" i="30"/>
  <c r="AE39" i="30"/>
  <c r="L15" i="30"/>
  <c r="H15" i="30"/>
  <c r="AC15" i="30" s="1"/>
  <c r="AE17" i="30"/>
  <c r="L14" i="30"/>
  <c r="H14" i="30"/>
  <c r="AE36" i="30"/>
  <c r="A36" i="30" s="1"/>
  <c r="L36" i="30"/>
  <c r="AE13" i="30"/>
  <c r="A28" i="30" s="1"/>
  <c r="L28" i="30"/>
  <c r="H28" i="30"/>
  <c r="AE30" i="30"/>
  <c r="L39" i="30"/>
  <c r="H39" i="30"/>
  <c r="AE38" i="30"/>
  <c r="A38" i="30" s="1"/>
  <c r="L38" i="30"/>
  <c r="T13" i="30"/>
  <c r="T16" i="30"/>
  <c r="T19" i="30"/>
  <c r="T25" i="30"/>
  <c r="T12" i="30"/>
  <c r="T37" i="25"/>
  <c r="A37" i="25" s="1"/>
  <c r="H37" i="25"/>
  <c r="T39" i="25"/>
  <c r="A39" i="25" s="1"/>
  <c r="H39" i="25"/>
  <c r="T27" i="25"/>
  <c r="A27" i="25" s="1"/>
  <c r="H27" i="25"/>
  <c r="T48" i="25"/>
  <c r="A48" i="25" s="1"/>
  <c r="T26" i="25"/>
  <c r="A26" i="25" s="1"/>
  <c r="H26" i="25"/>
  <c r="T43" i="25"/>
  <c r="A43" i="25" s="1"/>
  <c r="H43" i="25"/>
  <c r="Y20" i="31"/>
  <c r="V21" i="31"/>
  <c r="R21" i="31"/>
  <c r="L21" i="31"/>
  <c r="H21" i="31"/>
  <c r="Y25" i="31"/>
  <c r="V27" i="31"/>
  <c r="R27" i="31"/>
  <c r="L27" i="31"/>
  <c r="Y15" i="31"/>
  <c r="V12" i="31"/>
  <c r="R12" i="31"/>
  <c r="L12" i="31"/>
  <c r="H12" i="31"/>
  <c r="R13" i="31"/>
  <c r="R16" i="31"/>
  <c r="R14" i="31"/>
  <c r="R18" i="31"/>
  <c r="R17" i="31"/>
  <c r="R15" i="31"/>
  <c r="R25" i="31"/>
  <c r="R11" i="31"/>
  <c r="AE42" i="30"/>
  <c r="A42" i="30" s="1"/>
  <c r="L42" i="30"/>
  <c r="G35" i="19"/>
  <c r="H33" i="19"/>
  <c r="T50" i="25"/>
  <c r="A50" i="25" s="1"/>
  <c r="H50" i="25"/>
  <c r="T54" i="25"/>
  <c r="A54" i="25" s="1"/>
  <c r="H54" i="25"/>
  <c r="T44" i="25"/>
  <c r="A44" i="25" s="1"/>
  <c r="H44" i="25"/>
  <c r="T51" i="25"/>
  <c r="A51" i="25" s="1"/>
  <c r="H51" i="25"/>
  <c r="T46" i="25"/>
  <c r="A46" i="25" s="1"/>
  <c r="H46" i="25"/>
  <c r="Q28" i="31"/>
  <c r="O28" i="31"/>
  <c r="O55" i="25"/>
  <c r="S46" i="30"/>
  <c r="Y46" i="30"/>
  <c r="L18" i="31"/>
  <c r="L16" i="31"/>
  <c r="L17" i="31"/>
  <c r="L14" i="31"/>
  <c r="L13" i="31"/>
  <c r="L15" i="31"/>
  <c r="L25" i="31"/>
  <c r="L24" i="31"/>
  <c r="L11" i="31"/>
  <c r="G2" i="31"/>
  <c r="K28" i="31"/>
  <c r="Q35" i="19"/>
  <c r="T29" i="19"/>
  <c r="A29" i="19" s="1"/>
  <c r="U28" i="31"/>
  <c r="G28" i="31"/>
  <c r="Y24" i="31"/>
  <c r="A24" i="31" s="1"/>
  <c r="V24" i="31"/>
  <c r="H24" i="31"/>
  <c r="Y21" i="31"/>
  <c r="V25" i="31"/>
  <c r="H25" i="31"/>
  <c r="Y27" i="31"/>
  <c r="V15" i="31"/>
  <c r="H15" i="31"/>
  <c r="Y14" i="31"/>
  <c r="V13" i="31"/>
  <c r="H13" i="31"/>
  <c r="Y18" i="31"/>
  <c r="V14" i="31"/>
  <c r="H14" i="31"/>
  <c r="Y13" i="31"/>
  <c r="A17" i="31" s="1"/>
  <c r="V17" i="31"/>
  <c r="H17" i="31"/>
  <c r="Y12" i="31"/>
  <c r="A16" i="31" s="1"/>
  <c r="V16" i="31"/>
  <c r="H16" i="31"/>
  <c r="Y23" i="31"/>
  <c r="H18" i="31"/>
  <c r="Y11" i="31"/>
  <c r="A11" i="31" s="1"/>
  <c r="H11" i="31"/>
  <c r="W11" i="31" s="1"/>
  <c r="L12" i="30"/>
  <c r="L13" i="30"/>
  <c r="L27" i="30"/>
  <c r="L18" i="30"/>
  <c r="L25" i="30"/>
  <c r="L16" i="30"/>
  <c r="L24" i="30"/>
  <c r="L21" i="30"/>
  <c r="L22" i="30"/>
  <c r="L17" i="30"/>
  <c r="L26" i="30"/>
  <c r="L20" i="30"/>
  <c r="L44" i="30"/>
  <c r="L11" i="30"/>
  <c r="L19" i="30"/>
  <c r="H12" i="30"/>
  <c r="H13" i="30"/>
  <c r="H27" i="30"/>
  <c r="H18" i="30"/>
  <c r="H25" i="30"/>
  <c r="H16" i="30"/>
  <c r="H24" i="30"/>
  <c r="H21" i="30"/>
  <c r="H22" i="30"/>
  <c r="H17" i="30"/>
  <c r="H26" i="30"/>
  <c r="H20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1" i="29"/>
  <c r="W11" i="29"/>
  <c r="W26" i="29"/>
  <c r="W17" i="29"/>
  <c r="G2" i="25"/>
  <c r="E56" i="25" s="1"/>
  <c r="G2" i="29"/>
  <c r="G61" i="29" s="1"/>
  <c r="F58" i="29"/>
  <c r="F31" i="29"/>
  <c r="S60" i="29"/>
  <c r="K60" i="29"/>
  <c r="I60" i="29"/>
  <c r="W22" i="29"/>
  <c r="W14" i="29"/>
  <c r="A14" i="29" s="1"/>
  <c r="W13" i="29"/>
  <c r="W24" i="29"/>
  <c r="W15" i="29"/>
  <c r="W29" i="29"/>
  <c r="T14" i="25"/>
  <c r="A14" i="25" s="1"/>
  <c r="H14" i="25"/>
  <c r="T52" i="25"/>
  <c r="A52" i="25" s="1"/>
  <c r="H52" i="25"/>
  <c r="T21" i="25"/>
  <c r="A21" i="25" s="1"/>
  <c r="H21" i="25"/>
  <c r="T31" i="25"/>
  <c r="A31" i="25" s="1"/>
  <c r="H31" i="25"/>
  <c r="T34" i="25"/>
  <c r="A34" i="25" s="1"/>
  <c r="H34" i="25"/>
  <c r="T20" i="25"/>
  <c r="A20" i="25" s="1"/>
  <c r="H20" i="25"/>
  <c r="H28" i="25"/>
  <c r="H17" i="25"/>
  <c r="H35" i="25"/>
  <c r="H12" i="25"/>
  <c r="H30" i="25"/>
  <c r="H18" i="25"/>
  <c r="H38" i="25"/>
  <c r="H42" i="25"/>
  <c r="H23" i="25"/>
  <c r="H15" i="25"/>
  <c r="H33" i="25"/>
  <c r="H16" i="25"/>
  <c r="H24" i="25"/>
  <c r="H25" i="25"/>
  <c r="H32" i="25"/>
  <c r="H13" i="25"/>
  <c r="H19" i="25"/>
  <c r="H22" i="25"/>
  <c r="H29" i="25"/>
  <c r="H40" i="25"/>
  <c r="H49" i="25"/>
  <c r="Q55" i="25"/>
  <c r="M55" i="25"/>
  <c r="K55" i="25"/>
  <c r="I55" i="25"/>
  <c r="G55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A15" i="25" s="1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A12" i="25" s="1"/>
  <c r="T35" i="25"/>
  <c r="A35" i="25" s="1"/>
  <c r="T17" i="25"/>
  <c r="A17" i="25" s="1"/>
  <c r="J17" i="25"/>
  <c r="S17" i="25" s="1"/>
  <c r="T28" i="25"/>
  <c r="A28" i="25" s="1"/>
  <c r="T11" i="25"/>
  <c r="A11" i="25" s="1"/>
  <c r="H11" i="25"/>
  <c r="E35" i="19"/>
  <c r="T27" i="19"/>
  <c r="A27" i="19" s="1"/>
  <c r="T16" i="19"/>
  <c r="A16" i="19" s="1"/>
  <c r="T14" i="19"/>
  <c r="A14" i="19" s="1"/>
  <c r="T24" i="19"/>
  <c r="A24" i="19" s="1"/>
  <c r="T33" i="19"/>
  <c r="A33" i="19" s="1"/>
  <c r="T12" i="19"/>
  <c r="A12" i="19" s="1"/>
  <c r="A38" i="29" l="1"/>
  <c r="A29" i="29"/>
  <c r="N29" i="34"/>
  <c r="N22" i="34"/>
  <c r="N23" i="34"/>
  <c r="W15" i="31"/>
  <c r="A41" i="29"/>
  <c r="U19" i="29"/>
  <c r="N16" i="34"/>
  <c r="N24" i="34"/>
  <c r="N32" i="34"/>
  <c r="AC20" i="30"/>
  <c r="A52" i="29"/>
  <c r="N21" i="34"/>
  <c r="U31" i="29"/>
  <c r="S33" i="19"/>
  <c r="N30" i="34"/>
  <c r="U53" i="29"/>
  <c r="N15" i="34"/>
  <c r="N31" i="34"/>
  <c r="W18" i="31"/>
  <c r="N17" i="34"/>
  <c r="N25" i="34"/>
  <c r="N33" i="34"/>
  <c r="U22" i="29"/>
  <c r="U57" i="29"/>
  <c r="U16" i="29"/>
  <c r="U14" i="29"/>
  <c r="U15" i="29"/>
  <c r="U11" i="29"/>
  <c r="U21" i="29"/>
  <c r="U13" i="29"/>
  <c r="U17" i="29"/>
  <c r="U37" i="29"/>
  <c r="A40" i="29"/>
  <c r="A31" i="29"/>
  <c r="A25" i="29"/>
  <c r="A47" i="29"/>
  <c r="A37" i="29"/>
  <c r="A27" i="29"/>
  <c r="U33" i="29"/>
  <c r="U28" i="29"/>
  <c r="A30" i="29"/>
  <c r="U59" i="29"/>
  <c r="A34" i="29"/>
  <c r="A58" i="29"/>
  <c r="U29" i="29"/>
  <c r="U43" i="29"/>
  <c r="U32" i="29"/>
  <c r="AC19" i="30"/>
  <c r="AC11" i="30"/>
  <c r="AC25" i="30"/>
  <c r="U38" i="29"/>
  <c r="U42" i="29"/>
  <c r="U35" i="29"/>
  <c r="U34" i="29"/>
  <c r="U58" i="29"/>
  <c r="U27" i="29"/>
  <c r="U44" i="29"/>
  <c r="U46" i="29"/>
  <c r="U49" i="29"/>
  <c r="U48" i="29"/>
  <c r="U50" i="29"/>
  <c r="U25" i="29"/>
  <c r="U55" i="29"/>
  <c r="U51" i="29"/>
  <c r="U45" i="29"/>
  <c r="U40" i="29"/>
  <c r="A23" i="29"/>
  <c r="AC16" i="30"/>
  <c r="AC44" i="30"/>
  <c r="A13" i="31"/>
  <c r="Q22" i="35"/>
  <c r="Q23" i="35"/>
  <c r="Q24" i="35"/>
  <c r="Q25" i="35"/>
  <c r="Q26" i="35"/>
  <c r="Q27" i="35"/>
  <c r="Q28" i="35"/>
  <c r="Q29" i="35"/>
  <c r="Q30" i="35"/>
  <c r="Q31" i="35"/>
  <c r="Q32" i="35"/>
  <c r="Q33" i="35"/>
  <c r="A46" i="29"/>
  <c r="Q12" i="35"/>
  <c r="Q11" i="35"/>
  <c r="Q20" i="35"/>
  <c r="Q19" i="35"/>
  <c r="Q14" i="35"/>
  <c r="Q18" i="35"/>
  <c r="Q21" i="35"/>
  <c r="Q15" i="35"/>
  <c r="Q17" i="35"/>
  <c r="Q13" i="35"/>
  <c r="Q16" i="35"/>
  <c r="A16" i="30"/>
  <c r="S38" i="25"/>
  <c r="S35" i="25"/>
  <c r="S28" i="25"/>
  <c r="A39" i="30"/>
  <c r="A30" i="30"/>
  <c r="A15" i="30"/>
  <c r="A18" i="30"/>
  <c r="A29" i="30"/>
  <c r="A27" i="30"/>
  <c r="A32" i="30"/>
  <c r="AC36" i="30"/>
  <c r="A20" i="30"/>
  <c r="A23" i="30"/>
  <c r="A17" i="30"/>
  <c r="A35" i="30"/>
  <c r="A21" i="30"/>
  <c r="A14" i="30"/>
  <c r="W24" i="31"/>
  <c r="A21" i="29"/>
  <c r="A36" i="29"/>
  <c r="A13" i="29"/>
  <c r="A55" i="29"/>
  <c r="A16" i="29"/>
  <c r="A54" i="29"/>
  <c r="A44" i="29"/>
  <c r="A49" i="29"/>
  <c r="A17" i="29"/>
  <c r="A57" i="29"/>
  <c r="A20" i="29"/>
  <c r="A35" i="29"/>
  <c r="A19" i="29"/>
  <c r="A11" i="29"/>
  <c r="A50" i="29"/>
  <c r="A51" i="29"/>
  <c r="A45" i="29"/>
  <c r="A59" i="29"/>
  <c r="A26" i="29"/>
  <c r="A12" i="29"/>
  <c r="A24" i="29"/>
  <c r="A15" i="29"/>
  <c r="A22" i="29"/>
  <c r="A33" i="29"/>
  <c r="A53" i="29"/>
  <c r="A43" i="29"/>
  <c r="A39" i="29"/>
  <c r="A28" i="29"/>
  <c r="A32" i="29"/>
  <c r="A18" i="29"/>
  <c r="A48" i="29"/>
  <c r="A42" i="29"/>
  <c r="P27" i="36"/>
  <c r="P16" i="36"/>
  <c r="A12" i="30"/>
  <c r="S30" i="25"/>
  <c r="S49" i="25"/>
  <c r="S20" i="25"/>
  <c r="S44" i="25"/>
  <c r="S39" i="25"/>
  <c r="S46" i="25"/>
  <c r="S15" i="25"/>
  <c r="S42" i="25"/>
  <c r="S48" i="25"/>
  <c r="S34" i="25"/>
  <c r="S51" i="25"/>
  <c r="S37" i="25"/>
  <c r="S43" i="25"/>
  <c r="S26" i="25"/>
  <c r="S27" i="25"/>
  <c r="S50" i="25"/>
  <c r="S54" i="25"/>
  <c r="S33" i="25"/>
  <c r="S40" i="25"/>
  <c r="AC24" i="30"/>
  <c r="AC43" i="30"/>
  <c r="AC38" i="30"/>
  <c r="AC41" i="30"/>
  <c r="AC42" i="30"/>
  <c r="W27" i="31"/>
  <c r="S24" i="25"/>
  <c r="S29" i="25"/>
  <c r="S52" i="25"/>
  <c r="W25" i="31"/>
  <c r="A15" i="31"/>
  <c r="W12" i="31"/>
  <c r="W13" i="31"/>
  <c r="W16" i="31"/>
  <c r="W21" i="31"/>
  <c r="W14" i="31"/>
  <c r="W17" i="31"/>
  <c r="AC37" i="30"/>
  <c r="AC39" i="30"/>
  <c r="AC27" i="30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3" i="30"/>
  <c r="AC13" i="30" s="1"/>
  <c r="AB17" i="30"/>
  <c r="AC17" i="30" s="1"/>
  <c r="AB18" i="30"/>
  <c r="AC18" i="30" s="1"/>
  <c r="AB22" i="30"/>
  <c r="AB25" i="30"/>
  <c r="AB12" i="30"/>
  <c r="AC12" i="30" s="1"/>
  <c r="AB16" i="30"/>
  <c r="V39" i="25"/>
  <c r="X52" i="29"/>
  <c r="X25" i="29"/>
  <c r="X51" i="29"/>
  <c r="X19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6" i="25"/>
  <c r="G56" i="25"/>
  <c r="Q56" i="25"/>
  <c r="M56" i="25"/>
  <c r="O56" i="25"/>
  <c r="K56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7" i="29"/>
  <c r="X21" i="29"/>
  <c r="X32" i="29"/>
  <c r="X46" i="29"/>
  <c r="X11" i="29"/>
  <c r="X26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5" i="29"/>
  <c r="X13" i="29"/>
  <c r="X22" i="29"/>
  <c r="X20" i="29"/>
  <c r="X28" i="29"/>
  <c r="X37" i="29"/>
  <c r="X47" i="29"/>
  <c r="X39" i="29"/>
  <c r="X41" i="29"/>
  <c r="X27" i="29"/>
  <c r="X59" i="29"/>
  <c r="X30" i="29"/>
  <c r="S61" i="29"/>
  <c r="X29" i="29"/>
  <c r="X40" i="29"/>
  <c r="X14" i="29"/>
  <c r="X18" i="29"/>
  <c r="X31" i="29"/>
  <c r="X36" i="29"/>
  <c r="X45" i="29"/>
  <c r="X24" i="29"/>
  <c r="X12" i="29"/>
  <c r="X44" i="29"/>
  <c r="X43" i="29"/>
  <c r="X23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<sst xmlns="http://schemas.openxmlformats.org/spreadsheetml/2006/main" count="2571" uniqueCount="624">
  <si>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</si>
  <si>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</si>
  <si>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</si>
  <si>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</si>
  <si>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</si>
  <si>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</si>
  <si>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</si>
  <si>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</si>
  <si>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</si>
  <si>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</si>
  <si>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</si>
  <si>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</si>
  <si>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</si>
  <si>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</si>
  <si>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</si>
  <si>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Challenge Scaramouche Angers</t>
  </si>
  <si>
    <t>Classement Sabre Dames M11</t>
  </si>
  <si>
    <t>Classement Sabre Dames M9</t>
  </si>
  <si>
    <t>nb tireurs bretons</t>
  </si>
  <si>
    <t>Championnat de Bretagne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</si>
  <si>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</si>
  <si>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</si>
  <si>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</si>
  <si>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</si>
  <si>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</si>
  <si>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</si>
  <si>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Challenge Dugesclin Dinan</t>
  </si>
  <si>
    <t>Classement Sabre Hommes M9</t>
  </si>
  <si>
    <t>Circuit Régional Pontivy</t>
  </si>
  <si>
    <t>Circuit Régional St Grégoire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</si>
  <si>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</si>
  <si>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</si>
  <si>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</si>
  <si>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</si>
  <si>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</si>
  <si>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</si>
  <si>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</si>
  <si>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</si>
  <si>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</si>
  <si>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EN Montargis</t>
  </si>
  <si>
    <t>Classement Sabre Hommes Vétérans</t>
  </si>
  <si>
    <t>Coupe de Bretagne Pontivy</t>
  </si>
  <si>
    <t>Classement Sabre Dames Vétérans</t>
  </si>
  <si>
    <t>Challenge de France Thonon</t>
  </si>
  <si>
    <t>H2032 Montargis</t>
  </si>
  <si>
    <t>Coupe de Bretagne Fougères</t>
  </si>
  <si>
    <t>Championnat de Bretagne Betton</t>
  </si>
  <si>
    <t>Classement Sabre hommes Senior</t>
  </si>
  <si>
    <t>BETTON CS</t>
  </si>
  <si>
    <t>ST BRIEUC CE</t>
  </si>
  <si>
    <t>Emmanuel</t>
  </si>
  <si>
    <t>PFEUTY</t>
  </si>
  <si>
    <t>BOUJRAD-BENAUD</t>
  </si>
  <si>
    <t>Gael</t>
  </si>
  <si>
    <t>TOSUN</t>
  </si>
  <si>
    <t>Axel</t>
  </si>
  <si>
    <t>LAFAGE</t>
  </si>
  <si>
    <t>Paul</t>
  </si>
  <si>
    <t>CEP VANNES</t>
  </si>
  <si>
    <t>BLAES</t>
  </si>
  <si>
    <t>Tristan</t>
  </si>
  <si>
    <t>FLAMENT</t>
  </si>
  <si>
    <t>Alexandre</t>
  </si>
  <si>
    <t>DUMAS</t>
  </si>
  <si>
    <t>Gaspard</t>
  </si>
  <si>
    <t>BREST RAPIER</t>
  </si>
  <si>
    <t>Ylann</t>
  </si>
  <si>
    <t>DUBOUIL</t>
  </si>
  <si>
    <t>APPERE-RABIER</t>
  </si>
  <si>
    <t>Martin</t>
  </si>
  <si>
    <t>KERGOSIEN</t>
  </si>
  <si>
    <t>Baptiste</t>
  </si>
  <si>
    <t>PONTIVY</t>
  </si>
  <si>
    <t>DEFFAINS</t>
  </si>
  <si>
    <t>Clément</t>
  </si>
  <si>
    <t>DOUARIN</t>
  </si>
  <si>
    <t>Achille</t>
  </si>
  <si>
    <t>LE PORT HERRERO</t>
  </si>
  <si>
    <t>François</t>
  </si>
  <si>
    <t>CADIEU</t>
  </si>
  <si>
    <t>Hugo</t>
  </si>
  <si>
    <t>GLATRE</t>
  </si>
  <si>
    <t>Louison</t>
  </si>
  <si>
    <t>SENAN</t>
  </si>
  <si>
    <t>Augustin</t>
  </si>
  <si>
    <t>MADEC</t>
  </si>
  <si>
    <t>Enzo</t>
  </si>
  <si>
    <t>HASSANI</t>
  </si>
  <si>
    <t>Noa</t>
  </si>
  <si>
    <t>ST GREGOIRE</t>
  </si>
  <si>
    <t>Camille</t>
  </si>
  <si>
    <t>LE BORGNE</t>
  </si>
  <si>
    <t>Louann</t>
  </si>
  <si>
    <t>PREMEL</t>
  </si>
  <si>
    <t>Danaé</t>
  </si>
  <si>
    <t>BRONSARD</t>
  </si>
  <si>
    <t>Anaïs</t>
  </si>
  <si>
    <t>DAVID MELEUX</t>
  </si>
  <si>
    <t>Molène</t>
  </si>
  <si>
    <t>ROBERT</t>
  </si>
  <si>
    <t>Charlotte</t>
  </si>
  <si>
    <t>DELZONGLE</t>
  </si>
  <si>
    <t>Julianne</t>
  </si>
  <si>
    <t>Louise</t>
  </si>
  <si>
    <t>PAUGAM</t>
  </si>
  <si>
    <t>Rose</t>
  </si>
  <si>
    <t>BEGOC</t>
  </si>
  <si>
    <t>Bleuenn</t>
  </si>
  <si>
    <t>TRAVERSINO</t>
  </si>
  <si>
    <t>Caelhan</t>
  </si>
  <si>
    <t>BLOUET LERAN</t>
  </si>
  <si>
    <t>Josephine</t>
  </si>
  <si>
    <t>MOCAER</t>
  </si>
  <si>
    <t>Madeg</t>
  </si>
  <si>
    <t>Maxime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</si>
  <si>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</si>
  <si>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</si>
  <si>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</si>
  <si>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</si>
  <si>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</si>
  <si>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</si>
  <si>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</si>
  <si>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</si>
  <si>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</si>
  <si>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Titouan</t>
  </si>
  <si>
    <t>INGRAND</t>
  </si>
  <si>
    <t>Hadrien</t>
  </si>
  <si>
    <t>LE GALL</t>
  </si>
  <si>
    <t>Elias</t>
  </si>
  <si>
    <t>DINAN EA</t>
  </si>
  <si>
    <t>GILBON</t>
  </si>
  <si>
    <t>Aisha</t>
  </si>
  <si>
    <t>Lise</t>
  </si>
  <si>
    <t>LEROY GIROUX</t>
  </si>
  <si>
    <t>Teo</t>
  </si>
  <si>
    <t>KECK-PARAIRE</t>
  </si>
  <si>
    <t>MASSERET</t>
  </si>
  <si>
    <t>Aaron</t>
  </si>
  <si>
    <t>Jules</t>
  </si>
  <si>
    <t>Gaël</t>
  </si>
  <si>
    <t>Basile</t>
  </si>
  <si>
    <t>BREDOUX</t>
  </si>
  <si>
    <t>Theodore</t>
  </si>
  <si>
    <t>COULOMBEL</t>
  </si>
  <si>
    <t>PRODHOMME</t>
  </si>
  <si>
    <t>Margaux</t>
  </si>
  <si>
    <t>Zoé</t>
  </si>
  <si>
    <t>Eleanore</t>
  </si>
  <si>
    <t>Clémence</t>
  </si>
  <si>
    <t>Sixtine</t>
  </si>
  <si>
    <t>GOUZERCH DOUAUD</t>
  </si>
  <si>
    <t>RUELLOUX</t>
  </si>
  <si>
    <t>DANIGO</t>
  </si>
  <si>
    <t>PALMACE</t>
  </si>
  <si>
    <t>GEORGELIN</t>
  </si>
  <si>
    <t>Victor</t>
  </si>
  <si>
    <t>CHABERT</t>
  </si>
  <si>
    <t>BESSE</t>
  </si>
  <si>
    <t>BREDOUX NAUCZYCIEL</t>
  </si>
  <si>
    <t>Joshua</t>
  </si>
  <si>
    <t>PILLIE</t>
  </si>
  <si>
    <t>Jude</t>
  </si>
  <si>
    <t>LE MAZOU</t>
  </si>
  <si>
    <t>Antonin</t>
  </si>
  <si>
    <t>Marin</t>
  </si>
  <si>
    <t>CHAPEL</t>
  </si>
  <si>
    <t>BRAMOULLE</t>
  </si>
  <si>
    <t>LE BORGNIC PARANTHOEN</t>
  </si>
  <si>
    <t>Aela</t>
  </si>
  <si>
    <t>GUILLARD-GOUBAULT</t>
  </si>
  <si>
    <t>Jeanne</t>
  </si>
  <si>
    <t>Alice</t>
  </si>
  <si>
    <t>CORBIN</t>
  </si>
  <si>
    <t>Clara</t>
  </si>
  <si>
    <t>GERGOY</t>
  </si>
  <si>
    <t>Aubin</t>
  </si>
  <si>
    <t>QUESNEL</t>
  </si>
  <si>
    <t>Ewan</t>
  </si>
  <si>
    <t>DE PARSEVAL</t>
  </si>
  <si>
    <t>Arthur</t>
  </si>
  <si>
    <t>Gabriel</t>
  </si>
  <si>
    <t>Raphaël</t>
  </si>
  <si>
    <t>COMMEUREUC</t>
  </si>
  <si>
    <t>Morgan</t>
  </si>
  <si>
    <t>GACEL</t>
  </si>
  <si>
    <t>MESSAGER</t>
  </si>
  <si>
    <t>JEANNE</t>
  </si>
  <si>
    <t>Octave</t>
  </si>
  <si>
    <t>DANIEL</t>
  </si>
  <si>
    <t>DINARD LAMES</t>
  </si>
  <si>
    <t>SAVINA</t>
  </si>
  <si>
    <t>Mathieu</t>
  </si>
  <si>
    <t>Luka</t>
  </si>
  <si>
    <t>HIET GUIHUR</t>
  </si>
  <si>
    <t>Meven</t>
  </si>
  <si>
    <t>Solal</t>
  </si>
  <si>
    <t>DUCAMP</t>
  </si>
  <si>
    <t>Enoal</t>
  </si>
  <si>
    <t>VIGOUROUX</t>
  </si>
  <si>
    <t>Romane</t>
  </si>
  <si>
    <t>Thais</t>
  </si>
  <si>
    <t>GEVORGYAN</t>
  </si>
  <si>
    <t>ANDORNETTI</t>
  </si>
  <si>
    <t>Oscar</t>
  </si>
  <si>
    <t>LEMAIRE</t>
  </si>
  <si>
    <t>DESPRES</t>
  </si>
  <si>
    <t>Constant</t>
  </si>
  <si>
    <t>Joseph</t>
  </si>
  <si>
    <t>Liam</t>
  </si>
  <si>
    <t>Thaïs</t>
  </si>
  <si>
    <t>Ilan</t>
  </si>
  <si>
    <t>LE BELLEGO</t>
  </si>
  <si>
    <t>BARREAUD</t>
  </si>
  <si>
    <t>BEAUSIRE</t>
  </si>
  <si>
    <t>ABRIT</t>
  </si>
  <si>
    <t>JOSSEC</t>
  </si>
  <si>
    <t>GAUDICHEAU</t>
  </si>
  <si>
    <t>Dorian</t>
  </si>
  <si>
    <t>ANDERSON</t>
  </si>
  <si>
    <t>COUPEZ</t>
  </si>
  <si>
    <t>Youn</t>
  </si>
  <si>
    <t>LANNION ASPTT</t>
  </si>
  <si>
    <t>Léonard</t>
  </si>
  <si>
    <t>HERVAGAULT</t>
  </si>
  <si>
    <t>Hector</t>
  </si>
  <si>
    <t>Nathan</t>
  </si>
  <si>
    <t>Lizea</t>
  </si>
  <si>
    <t>Héloïse</t>
  </si>
  <si>
    <t>BERTHE GROULT</t>
  </si>
  <si>
    <t>Aurélien</t>
  </si>
  <si>
    <t>Coupe de Bretagne PONTIVY</t>
  </si>
  <si>
    <t>Challenge Dugesclin</t>
  </si>
  <si>
    <t>EN Meylan</t>
  </si>
  <si>
    <t>EN Sabre Brest</t>
  </si>
  <si>
    <t>EN Bourges</t>
  </si>
  <si>
    <t>Championnat de France Pau</t>
  </si>
  <si>
    <t>Challenge Régional Brest</t>
  </si>
  <si>
    <t>nb tireuses bretonnes</t>
  </si>
  <si>
    <t xml:space="preserve">CHAPEL </t>
  </si>
  <si>
    <t>Heloise</t>
  </si>
  <si>
    <t>BIDAULT-HARRE</t>
  </si>
  <si>
    <t>Marvin</t>
  </si>
  <si>
    <t>QUIMPER EC</t>
  </si>
  <si>
    <t>JAGLIN</t>
  </si>
  <si>
    <t>LAUNAY</t>
  </si>
  <si>
    <t>DAVID-MELEUX</t>
  </si>
  <si>
    <t>HIDALGO CORRE</t>
  </si>
  <si>
    <t>ER Sabre Brest</t>
  </si>
  <si>
    <t>EN Roubaix</t>
  </si>
  <si>
    <t>Coupe de BretagneFougères</t>
  </si>
  <si>
    <t>EN Tarbes+équipe</t>
  </si>
  <si>
    <t>Championnat de France Gemenos</t>
  </si>
  <si>
    <t>FOUGERES CE</t>
  </si>
  <si>
    <t>PASTOL</t>
  </si>
  <si>
    <t>Sophie</t>
  </si>
  <si>
    <t>Championnat de Bretagne St brieuc</t>
  </si>
  <si>
    <t>Circuit Régional Fougères</t>
  </si>
  <si>
    <t>FAVREL</t>
  </si>
  <si>
    <t>LEDRESSEUR-BIA</t>
  </si>
  <si>
    <t>CE CHEVAIGNE</t>
  </si>
  <si>
    <t>RUIZ</t>
  </si>
  <si>
    <t>BOUDARD</t>
  </si>
  <si>
    <t>GUIDER - CHODOSAS</t>
  </si>
  <si>
    <t>Noe</t>
  </si>
  <si>
    <t>TRAISNEL</t>
  </si>
  <si>
    <t>Marceau</t>
  </si>
  <si>
    <t>Valiergue</t>
  </si>
  <si>
    <t>HUSON</t>
  </si>
  <si>
    <t>Reggie</t>
  </si>
  <si>
    <t>Coupe du Futur St Grégoire</t>
  </si>
  <si>
    <t>Coupe du Futur Pontivy</t>
  </si>
  <si>
    <t>Coupe du Futur Fougères</t>
  </si>
  <si>
    <t>Léane</t>
  </si>
  <si>
    <t>KASSEGNE</t>
  </si>
  <si>
    <t>Délali</t>
  </si>
  <si>
    <t>GRENIER</t>
  </si>
  <si>
    <t>Roxane</t>
  </si>
  <si>
    <t>Banzouzi</t>
  </si>
  <si>
    <t>st Gregoire</t>
  </si>
  <si>
    <t>PARIS</t>
  </si>
  <si>
    <t>Matéo</t>
  </si>
  <si>
    <t>Noam</t>
  </si>
  <si>
    <t>Dinan</t>
  </si>
  <si>
    <t>BRIDEL PONTON</t>
  </si>
  <si>
    <t>Boris</t>
  </si>
  <si>
    <t>Anatole</t>
  </si>
  <si>
    <t>PLANTADE KERMARREC</t>
  </si>
  <si>
    <t>Anais</t>
  </si>
  <si>
    <t>LE COCQUEN</t>
  </si>
  <si>
    <t>Ani</t>
  </si>
  <si>
    <t>LONGCHAMP</t>
  </si>
  <si>
    <t>CE CHEVAIGN</t>
  </si>
  <si>
    <t>Jamet le Provost</t>
  </si>
  <si>
    <t>FRAGE</t>
  </si>
  <si>
    <t>PAQUE</t>
  </si>
  <si>
    <t>Aymeric</t>
  </si>
  <si>
    <t>MARTIN-EVARD</t>
  </si>
  <si>
    <t>Léandre</t>
  </si>
  <si>
    <t>MORIN</t>
  </si>
  <si>
    <t>ROUXEL-BECEL</t>
  </si>
  <si>
    <t>Sacha</t>
  </si>
  <si>
    <t>FOURNIS</t>
  </si>
  <si>
    <t>BRIAUX</t>
  </si>
  <si>
    <t>Arzhur</t>
  </si>
  <si>
    <t>H2032 Charleville</t>
  </si>
  <si>
    <t>Florian</t>
  </si>
  <si>
    <t>EQC</t>
  </si>
  <si>
    <t>DASIVLA</t>
  </si>
  <si>
    <t>POULHAZAN</t>
  </si>
  <si>
    <t>Kevin</t>
  </si>
  <si>
    <t>BENOIT</t>
  </si>
  <si>
    <t>LEGRAND</t>
  </si>
  <si>
    <t>Abraham</t>
  </si>
  <si>
    <t>GODARD</t>
  </si>
  <si>
    <t>Mael</t>
  </si>
  <si>
    <t>MALEK</t>
  </si>
  <si>
    <t>Billel</t>
  </si>
  <si>
    <t>COPROS</t>
  </si>
  <si>
    <t>Guillaume</t>
  </si>
  <si>
    <t>BILLON</t>
  </si>
  <si>
    <t>MOKDED</t>
  </si>
  <si>
    <t>HOUEZ</t>
  </si>
  <si>
    <t>SEVA</t>
  </si>
  <si>
    <t>NEDELEC</t>
  </si>
  <si>
    <t>Emnah</t>
  </si>
  <si>
    <t>GAYRARD</t>
  </si>
  <si>
    <t>AMIS</t>
  </si>
  <si>
    <t>Emilie</t>
  </si>
  <si>
    <t>POUHAER</t>
  </si>
  <si>
    <t>Esteban</t>
  </si>
  <si>
    <t>MARTIN-GOUSSET</t>
  </si>
  <si>
    <t>Ysée</t>
  </si>
  <si>
    <t>Challenge Penn Ar Bed</t>
  </si>
  <si>
    <t>HERBRETEAU</t>
  </si>
  <si>
    <t>Alwena</t>
  </si>
  <si>
    <t>Charlize</t>
  </si>
  <si>
    <t>HAVY</t>
  </si>
  <si>
    <t>FOURMOUND</t>
  </si>
  <si>
    <t>FAURE</t>
  </si>
  <si>
    <t>Ely</t>
  </si>
  <si>
    <t>Jonas</t>
  </si>
  <si>
    <t>KERVIAN</t>
  </si>
  <si>
    <t>MENEZ</t>
  </si>
  <si>
    <t>TRAVERS</t>
  </si>
  <si>
    <t>Timothée</t>
  </si>
  <si>
    <t>CEP FOUGERES</t>
  </si>
  <si>
    <t>BUTEL-PLIQUE</t>
  </si>
  <si>
    <t>Julian</t>
  </si>
  <si>
    <t>SOREL</t>
  </si>
  <si>
    <t>GOUVART</t>
  </si>
  <si>
    <t>UEDA</t>
  </si>
  <si>
    <t>Léon</t>
  </si>
  <si>
    <t>Lannion ASPTT</t>
  </si>
  <si>
    <t>D'orazio</t>
  </si>
  <si>
    <t>Elio</t>
  </si>
  <si>
    <t>Poulain</t>
  </si>
  <si>
    <t>Ernest</t>
  </si>
  <si>
    <t>GUERET</t>
  </si>
  <si>
    <t>Lily-Rose</t>
  </si>
  <si>
    <t>POUZAC</t>
  </si>
  <si>
    <t>Cléo</t>
  </si>
  <si>
    <t>CE CHEVAIGNÉ</t>
  </si>
  <si>
    <t>SALAUN</t>
  </si>
  <si>
    <t>Léa</t>
  </si>
  <si>
    <t>GIRARD CARABIN</t>
  </si>
  <si>
    <t>Lucie</t>
  </si>
  <si>
    <t>RENAULT</t>
  </si>
  <si>
    <t>Lina</t>
  </si>
  <si>
    <t>LE GALLIC</t>
  </si>
  <si>
    <t>Gabin</t>
  </si>
  <si>
    <t>KOUICI</t>
  </si>
  <si>
    <t>Yanis</t>
  </si>
  <si>
    <t>SCHMITT</t>
  </si>
  <si>
    <t>Corentin</t>
  </si>
  <si>
    <t>SALINAS</t>
  </si>
  <si>
    <t>Rosalie</t>
  </si>
  <si>
    <t>LUCAS</t>
  </si>
  <si>
    <t>Eilwen</t>
  </si>
  <si>
    <t>HENON</t>
  </si>
  <si>
    <t>LUTIC</t>
  </si>
  <si>
    <t>Gwenn</t>
  </si>
  <si>
    <t>Boulou</t>
  </si>
  <si>
    <t>Marc-Eliott</t>
  </si>
  <si>
    <t>COROUGE</t>
  </si>
  <si>
    <t>Marius</t>
  </si>
  <si>
    <t>JAFFRELOT</t>
  </si>
  <si>
    <t>Meriadeg</t>
  </si>
  <si>
    <t>CHARNONNIER PONTIER</t>
  </si>
  <si>
    <t xml:space="preserve">GEORGELIN </t>
  </si>
  <si>
    <t>ALICE</t>
  </si>
  <si>
    <t>Agathe</t>
  </si>
  <si>
    <t>Yuna</t>
  </si>
  <si>
    <t>BRUNET</t>
  </si>
  <si>
    <t>TOUCHERY</t>
  </si>
  <si>
    <t>PLEVEN</t>
  </si>
  <si>
    <t>H2032 Henon</t>
  </si>
  <si>
    <t>Challenge Dugueclin Dinan</t>
  </si>
  <si>
    <t>BETTON</t>
  </si>
  <si>
    <t>FOUGERES</t>
  </si>
  <si>
    <t>CHEVAIGNE</t>
  </si>
  <si>
    <t>LANNION</t>
  </si>
  <si>
    <t>DINARD</t>
  </si>
  <si>
    <t>DINAN</t>
  </si>
  <si>
    <t xml:space="preserve">BARREAUD </t>
  </si>
  <si>
    <t>Antoine</t>
  </si>
  <si>
    <t>Suliac</t>
  </si>
  <si>
    <t>Lucas</t>
  </si>
  <si>
    <t>Malo</t>
  </si>
  <si>
    <t>BUTEL PLIQUE</t>
  </si>
  <si>
    <t>PEN</t>
  </si>
  <si>
    <t>CHOISEAU</t>
  </si>
  <si>
    <t>NOEL</t>
  </si>
  <si>
    <t>GUIGUES</t>
  </si>
  <si>
    <t>LE CAPITAINE</t>
  </si>
  <si>
    <t>LESACHER</t>
  </si>
  <si>
    <t>DE PERSEVAL</t>
  </si>
  <si>
    <t>FANIEN HUE</t>
  </si>
  <si>
    <t>BOUHOURS</t>
  </si>
  <si>
    <t>CHARVET-JOU</t>
  </si>
  <si>
    <t>Elisa</t>
  </si>
  <si>
    <t>VANNES</t>
  </si>
  <si>
    <t>AMEDEO</t>
  </si>
  <si>
    <t>LANGLAIS</t>
  </si>
  <si>
    <t>Henon</t>
  </si>
  <si>
    <t>Maelys</t>
  </si>
  <si>
    <t>Gaston</t>
  </si>
  <si>
    <t>SCHENCK</t>
  </si>
  <si>
    <t>Benjamin</t>
  </si>
  <si>
    <t>LAVERGNE</t>
  </si>
  <si>
    <t>Raphael</t>
  </si>
  <si>
    <t>Aodhan</t>
  </si>
  <si>
    <t>SICARD</t>
  </si>
  <si>
    <t>Lucille</t>
  </si>
  <si>
    <t>Danae</t>
  </si>
  <si>
    <t>H2032 HENON</t>
  </si>
  <si>
    <t>GASPARD</t>
  </si>
  <si>
    <t>OMNES PALOMBA</t>
  </si>
  <si>
    <t>Bertille</t>
  </si>
  <si>
    <t>CM Istanbul</t>
  </si>
  <si>
    <t>EN Sabre Montargis</t>
  </si>
  <si>
    <t>Mewen</t>
  </si>
  <si>
    <t>Bleuen</t>
  </si>
  <si>
    <t>Thaîs</t>
  </si>
  <si>
    <t>KERVICHE</t>
  </si>
  <si>
    <t>Alwenna</t>
  </si>
  <si>
    <t>BAR</t>
  </si>
  <si>
    <t>MONNERAYE</t>
  </si>
  <si>
    <t>Maria</t>
  </si>
  <si>
    <t>FOURMOND</t>
  </si>
  <si>
    <t>LE MAITRE</t>
  </si>
  <si>
    <t>Loris</t>
  </si>
  <si>
    <t>JOSSE</t>
  </si>
  <si>
    <t>Leon</t>
  </si>
  <si>
    <t>QUERIEL</t>
  </si>
  <si>
    <t>Mattéo</t>
  </si>
  <si>
    <t>LE LAOUENAN</t>
  </si>
  <si>
    <t>MARTIN GOUSSET</t>
  </si>
  <si>
    <t>MERCIER</t>
  </si>
  <si>
    <t>MEIER</t>
  </si>
  <si>
    <t>Romain</t>
  </si>
  <si>
    <t>GAUTIER</t>
  </si>
  <si>
    <t>VALO</t>
  </si>
  <si>
    <t>Elouan</t>
  </si>
  <si>
    <t>CM Esslingen</t>
  </si>
  <si>
    <t>CN hérouville</t>
  </si>
  <si>
    <t>Beranger</t>
  </si>
  <si>
    <t>Julien</t>
  </si>
  <si>
    <t>CEP Fougères</t>
  </si>
  <si>
    <t>Lilly-Rose</t>
  </si>
  <si>
    <t>HIVERT-LEROUX</t>
  </si>
  <si>
    <t>Roman</t>
  </si>
  <si>
    <t>PICAT</t>
  </si>
  <si>
    <t>NEAU</t>
  </si>
  <si>
    <t>LE QUILLIEC</t>
  </si>
  <si>
    <t>Maxence</t>
  </si>
  <si>
    <t>COGÉ</t>
  </si>
  <si>
    <t>Nolan</t>
  </si>
  <si>
    <t>BAUD</t>
  </si>
  <si>
    <t>Anaya</t>
  </si>
  <si>
    <t>GASPAILLARD-LAILIC</t>
  </si>
  <si>
    <t>Faustine</t>
  </si>
  <si>
    <t>EVIN</t>
  </si>
  <si>
    <t>MORELLEC</t>
  </si>
  <si>
    <t>Tiago</t>
  </si>
  <si>
    <t>MAUDUIT</t>
  </si>
  <si>
    <t>TOQUET</t>
  </si>
  <si>
    <t>Hippolyte</t>
  </si>
  <si>
    <t>HOCHET</t>
  </si>
  <si>
    <t>JEGOUX</t>
  </si>
  <si>
    <t>Kaelig</t>
  </si>
  <si>
    <t>URCUN GUYARD</t>
  </si>
  <si>
    <t>Sohen</t>
  </si>
  <si>
    <t>CHARTRES</t>
  </si>
  <si>
    <t>Olivia</t>
  </si>
  <si>
    <t>TARDIVEL</t>
  </si>
  <si>
    <t>Sarah</t>
  </si>
  <si>
    <t>VILLAIN</t>
  </si>
  <si>
    <t>LE PENNEL</t>
  </si>
  <si>
    <t>Giulia</t>
  </si>
  <si>
    <t>Garance</t>
  </si>
  <si>
    <t>REHAULT</t>
  </si>
  <si>
    <t>Pauline</t>
  </si>
  <si>
    <t>Thomas</t>
  </si>
  <si>
    <t>COUTURE</t>
  </si>
  <si>
    <t>Mipau</t>
  </si>
  <si>
    <t>LORIN</t>
  </si>
  <si>
    <t>Hyppolyte</t>
  </si>
  <si>
    <t>MASMONTEIL</t>
  </si>
  <si>
    <t>Virginie</t>
  </si>
  <si>
    <t>Sandrine</t>
  </si>
  <si>
    <t>CE ST BRIEUC</t>
  </si>
  <si>
    <t>TUGAY</t>
  </si>
  <si>
    <t>Bugra</t>
  </si>
  <si>
    <t>DEROUCHE</t>
  </si>
  <si>
    <t>LESUR</t>
  </si>
  <si>
    <t>Louis</t>
  </si>
  <si>
    <t>ERMINE</t>
  </si>
  <si>
    <t>ChateauBriant</t>
  </si>
  <si>
    <t>CLEMENT</t>
  </si>
  <si>
    <t>FLORENTIN</t>
  </si>
  <si>
    <t>Laly</t>
  </si>
  <si>
    <t>MERIGOT</t>
  </si>
  <si>
    <t>LE BAILLY</t>
  </si>
  <si>
    <t>3 MASQUES (50)</t>
  </si>
  <si>
    <t>SIMON</t>
  </si>
  <si>
    <t>Maryanne</t>
  </si>
  <si>
    <t>CORNILLE-ORVAIN</t>
  </si>
  <si>
    <t>3 Masques (50)</t>
  </si>
  <si>
    <t>Chevreux</t>
  </si>
  <si>
    <t>Nathael</t>
  </si>
  <si>
    <t>Joly</t>
  </si>
  <si>
    <t>Konwen</t>
  </si>
  <si>
    <t>Perreau Beninca</t>
  </si>
  <si>
    <t>Queriel</t>
  </si>
  <si>
    <t>FDJ SACLAY</t>
  </si>
  <si>
    <t>BEILLEAU</t>
  </si>
  <si>
    <t>Championnat de Bretagne Rennes</t>
  </si>
  <si>
    <t>LE PAPE</t>
  </si>
  <si>
    <t>Mathéo</t>
  </si>
  <si>
    <t>RADENAC</t>
  </si>
  <si>
    <t>Challenge Scaramouche</t>
  </si>
  <si>
    <t>HEMON</t>
  </si>
  <si>
    <t>PAPIN</t>
  </si>
  <si>
    <t>Salome</t>
  </si>
  <si>
    <t>Vitré</t>
  </si>
  <si>
    <t>CARPENTIER</t>
  </si>
  <si>
    <t>Catherine</t>
  </si>
  <si>
    <t>MARCHAND</t>
  </si>
  <si>
    <t>Juliette</t>
  </si>
  <si>
    <t>MASMONTIEL</t>
  </si>
  <si>
    <t>CHAPERON</t>
  </si>
  <si>
    <t>Maureen</t>
  </si>
  <si>
    <t>GOGNET</t>
  </si>
  <si>
    <t>PINEDA MORALES</t>
  </si>
  <si>
    <t>Luis</t>
  </si>
  <si>
    <t>BOURBON</t>
  </si>
  <si>
    <t>ANTOINE</t>
  </si>
  <si>
    <t>BRANDILY</t>
  </si>
  <si>
    <t>PALVADEAU</t>
  </si>
  <si>
    <t>Olivier</t>
  </si>
  <si>
    <t>Alex</t>
  </si>
  <si>
    <t>QUINTANA</t>
  </si>
  <si>
    <t>DEROUCH</t>
  </si>
  <si>
    <t>Champ de Bzh M15</t>
  </si>
  <si>
    <t>Champ de Bzh M17</t>
  </si>
  <si>
    <t>Selection Sabre Dames M15</t>
  </si>
  <si>
    <t>Champ de BZH M15</t>
  </si>
  <si>
    <t>Champ Bzh M15</t>
  </si>
  <si>
    <t>Champ Bzh M17</t>
  </si>
  <si>
    <t>Sélection Sabre Hommes M15</t>
  </si>
  <si>
    <t>Challenge Dinan</t>
  </si>
  <si>
    <t>Challenge Angers</t>
  </si>
  <si>
    <t>QUOTA FFE</t>
  </si>
  <si>
    <t>DEJOIE</t>
  </si>
  <si>
    <t>BARBIER</t>
  </si>
  <si>
    <t>Noah</t>
  </si>
  <si>
    <t>CHEVALIER</t>
  </si>
  <si>
    <t>AUDIC</t>
  </si>
  <si>
    <t>Kahily</t>
  </si>
  <si>
    <t>LANGLAIS-MICIC</t>
  </si>
  <si>
    <t>Constantin</t>
  </si>
  <si>
    <t>JEGU</t>
  </si>
  <si>
    <t>Eliott</t>
  </si>
  <si>
    <t xml:space="preserve">Gaspard </t>
  </si>
  <si>
    <t>SIREJEAN</t>
  </si>
  <si>
    <t>Lorenzo</t>
  </si>
  <si>
    <t>SAKO</t>
  </si>
  <si>
    <t>GRAFFE</t>
  </si>
  <si>
    <t>Mihiravari</t>
  </si>
  <si>
    <t>LEFEBVRE</t>
  </si>
  <si>
    <t>Tia</t>
  </si>
  <si>
    <t>SAVIGNAN</t>
  </si>
  <si>
    <t>Cédric</t>
  </si>
  <si>
    <t>DONIAS</t>
  </si>
  <si>
    <t>Noël</t>
  </si>
  <si>
    <t>BERANGER</t>
  </si>
  <si>
    <t>LAMY</t>
  </si>
  <si>
    <t>Thimotée</t>
  </si>
  <si>
    <t>EVS</t>
  </si>
  <si>
    <t>Barbier</t>
  </si>
  <si>
    <t>Salât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</si>
  <si>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</si>
  <si>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</si>
  <si>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</si>
  <si>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</si>
  <si>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</si>
  <si>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</si>
  <si>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</si>
  <si>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</si>
  <si>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</si>
  <si>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</si>
  <si>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</si>
  <si>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</si>
  <si>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</si>
  <si>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</si>
  <si>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</si>
  <si>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</si>
  <si>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ROUXEL THOMANN</t>
  </si>
  <si>
    <t>Simon</t>
  </si>
  <si>
    <t>AIRAULT</t>
  </si>
  <si>
    <t>CIROTTEAU</t>
  </si>
  <si>
    <t>DAVID PETIT</t>
  </si>
  <si>
    <t>Bastien</t>
  </si>
  <si>
    <t>AUDEPIN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</si>
</sst>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1" fontId="0" fillId="4" borderId="1" xfId="0" applyNumberFormat="1" applyFill="1" applyBorder="1"/>
    <xf numFmtId="0" fontId="8" fillId="0" borderId="1" xfId="0" applyFont="1" applyBorder="1"/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44140625" defaultRowHeight="14.4" x14ac:dyDescent="0.3"/>
  <cols>
    <col min="1" max="1" width="18.33203125" bestFit="1" customWidth="1"/>
    <col min="2" max="2" width="9.554687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88671875" customWidth="1"/>
    <col min="17" max="17" width="18.33203125" bestFit="1" customWidth="1"/>
  </cols>
  <sheetData>
    <row r="1" spans="1:17" ht="31.2" x14ac:dyDescent="0.6">
      <c r="A1" s="25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3" spans="1:17" x14ac:dyDescent="0.3">
      <c r="C3" s="2"/>
    </row>
    <row r="4" spans="1:17" x14ac:dyDescent="0.3">
      <c r="C4" s="2"/>
      <c r="D4" s="3"/>
    </row>
    <row r="6" spans="1:17" x14ac:dyDescent="0.3">
      <c r="E6" s="1" t="s">
        <v>0</v>
      </c>
      <c r="F6" s="26" t="s">
        <v>464</v>
      </c>
      <c r="G6" s="26"/>
      <c r="H6" s="26" t="s">
        <v>41</v>
      </c>
      <c r="I6" s="26"/>
      <c r="J6" s="26" t="s">
        <v>46</v>
      </c>
      <c r="K6" s="26"/>
      <c r="L6" s="26" t="s">
        <v>45</v>
      </c>
      <c r="M6" s="26"/>
      <c r="N6" s="26" t="s">
        <v>603</v>
      </c>
      <c r="O6" s="26"/>
    </row>
    <row r="7" spans="1:17" x14ac:dyDescent="0.3">
      <c r="E7" s="1" t="s">
        <v>10</v>
      </c>
      <c r="F7" s="23">
        <v>2</v>
      </c>
      <c r="G7" s="24"/>
      <c r="H7" s="23">
        <v>2</v>
      </c>
      <c r="I7" s="24"/>
      <c r="J7" s="23">
        <v>3</v>
      </c>
      <c r="K7" s="24"/>
      <c r="L7" s="23">
        <v>2</v>
      </c>
      <c r="M7" s="24"/>
      <c r="N7" s="23">
        <v>5</v>
      </c>
      <c r="O7" s="24"/>
    </row>
    <row r="8" spans="1:17" x14ac:dyDescent="0.3">
      <c r="E8" s="1" t="s">
        <v>1</v>
      </c>
      <c r="F8" s="29">
        <v>45641</v>
      </c>
      <c r="G8" s="29"/>
      <c r="H8" s="29">
        <v>45682</v>
      </c>
      <c r="I8" s="29"/>
      <c r="J8" s="29">
        <v>45725</v>
      </c>
      <c r="K8" s="29"/>
      <c r="L8" s="29">
        <v>45774</v>
      </c>
      <c r="M8" s="29"/>
      <c r="N8" s="29">
        <v>45780</v>
      </c>
      <c r="O8" s="29"/>
    </row>
    <row r="9" spans="1:17" x14ac:dyDescent="0.3">
      <c r="E9" s="1" t="s">
        <v>2</v>
      </c>
      <c r="F9" s="26">
        <v>12</v>
      </c>
      <c r="G9" s="26"/>
      <c r="H9" s="26">
        <v>3</v>
      </c>
      <c r="I9" s="26"/>
      <c r="J9" s="26">
        <v>2</v>
      </c>
      <c r="K9" s="26"/>
      <c r="L9" s="26">
        <v>8</v>
      </c>
      <c r="M9" s="26"/>
      <c r="N9" s="26">
        <v>16</v>
      </c>
      <c r="O9" s="26"/>
    </row>
    <row r="10" spans="1:17" x14ac:dyDescent="0.3">
      <c r="A10" s="1" t="s">
        <v>9</v>
      </c>
      <c r="B10" s="1" t="s">
        <v>601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3">
      <c r="A11" s="5">
        <f t="shared" ref="A11:A18" si="0">Q11</f>
        <v>1</v>
      </c>
      <c r="B11" s="5" t="s">
        <v>602</v>
      </c>
      <c r="C11" s="6" t="s">
        <v>604</v>
      </c>
      <c r="D11" s="6" t="s">
        <v>78</v>
      </c>
      <c r="E11" s="6" t="s">
        <v>242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3">
      <c r="A12" s="5">
        <f t="shared" si="0"/>
        <v>2</v>
      </c>
      <c r="B12" s="5" t="s">
        <v>602</v>
      </c>
      <c r="C12" s="6" t="s">
        <v>465</v>
      </c>
      <c r="D12" s="6" t="s">
        <v>466</v>
      </c>
      <c r="E12" s="6" t="s">
        <v>467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3">
      <c r="A13" s="5">
        <f t="shared" si="0"/>
        <v>3</v>
      </c>
      <c r="B13" s="5" t="s">
        <v>605</v>
      </c>
      <c r="C13" s="6" t="s">
        <v>610</v>
      </c>
      <c r="D13" s="6" t="s">
        <v>616</v>
      </c>
      <c r="E13" s="6" t="s">
        <v>608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3">
      <c r="A14" s="5">
        <f t="shared" si="0"/>
        <v>4</v>
      </c>
      <c r="B14" s="5" t="s">
        <v>602</v>
      </c>
      <c r="C14" s="6" t="s">
        <v>511</v>
      </c>
      <c r="D14" s="6" t="s">
        <v>512</v>
      </c>
      <c r="E14" s="6" t="s">
        <v>58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3">
      <c r="A15" s="5">
        <f t="shared" si="0"/>
        <v>5</v>
      </c>
      <c r="B15" s="5" t="s">
        <v>602</v>
      </c>
      <c r="C15" s="6" t="s">
        <v>609</v>
      </c>
      <c r="D15" s="6" t="s">
        <v>607</v>
      </c>
      <c r="E15" s="6" t="s">
        <v>608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3">
      <c r="A16" s="5">
        <f t="shared" si="0"/>
        <v>6</v>
      </c>
      <c r="B16" s="5" t="s">
        <v>606</v>
      </c>
      <c r="C16" s="6" t="s">
        <v>615</v>
      </c>
      <c r="D16" s="6" t="s">
        <v>611</v>
      </c>
      <c r="E16" s="6" t="s">
        <v>608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3">
      <c r="A17" s="5">
        <f t="shared" si="0"/>
        <v>7</v>
      </c>
      <c r="B17" s="5" t="s">
        <v>602</v>
      </c>
      <c r="C17" s="6" t="s">
        <v>513</v>
      </c>
      <c r="D17" s="6" t="s">
        <v>191</v>
      </c>
      <c r="E17" s="6" t="s">
        <v>242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3">
      <c r="A18" s="5">
        <f t="shared" si="0"/>
        <v>8</v>
      </c>
      <c r="B18" s="5" t="s">
        <v>605</v>
      </c>
      <c r="C18" s="6" t="s">
        <v>613</v>
      </c>
      <c r="D18" s="6" t="s">
        <v>614</v>
      </c>
      <c r="E18" s="6" t="s">
        <v>612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3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3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3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3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3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3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3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3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3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3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3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3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3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3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3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3">
      <c r="A34" s="27" t="s">
        <v>18</v>
      </c>
      <c r="B34" s="27"/>
      <c r="C34" s="27"/>
      <c r="D34" s="28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69"/>
  <sheetViews>
    <sheetView workbookViewId="0">
      <pane xSplit="6" ySplit="10" topLeftCell="G11" activePane="bottomRight" state="frozenSplit"/>
      <selection pane="topRight" activeCell="D26" sqref="D26"/>
      <selection pane="bottomLeft" activeCell="D26" sqref="D26"/>
      <selection pane="bottomRight" activeCell="D15" sqref="D15"/>
    </sheetView>
  </sheetViews>
  <sheetFormatPr baseColWidth="10" defaultColWidth="11.44140625" defaultRowHeight="14.4" x14ac:dyDescent="0.3"/>
  <cols>
    <col min="2" max="2" width="18.33203125" bestFit="1" customWidth="1"/>
    <col min="3" max="3" width="22.6640625" bestFit="1" customWidth="1"/>
    <col min="4" max="4" width="28.44140625" customWidth="1"/>
    <col min="5" max="5" width="18.44140625" customWidth="1"/>
    <col min="6" max="6" width="14.88671875" bestFit="1" customWidth="1"/>
    <col min="7" max="7" width="9" customWidth="1"/>
    <col min="8" max="8" width="13.44140625" customWidth="1"/>
    <col min="9" max="9" width="5.44140625" customWidth="1"/>
    <col min="10" max="10" width="12.109375" customWidth="1"/>
    <col min="11" max="11" width="6.88671875" customWidth="1"/>
    <col min="12" max="12" width="8.6640625" bestFit="1" customWidth="1"/>
    <col min="13" max="13" width="9.33203125" customWidth="1"/>
    <col min="14" max="14" width="11.44140625" customWidth="1"/>
    <col min="15" max="15" width="6.33203125" customWidth="1"/>
    <col min="16" max="16" width="12.6640625" customWidth="1"/>
    <col min="17" max="17" width="5.88671875" customWidth="1"/>
    <col min="18" max="18" width="9.44140625" customWidth="1"/>
    <col min="19" max="19" width="11.44140625" customWidth="1"/>
    <col min="20" max="20" width="18.44140625" bestFit="1" customWidth="1"/>
    <col min="21" max="21" width="25.33203125" bestFit="1" customWidth="1"/>
    <col min="22" max="22" width="18.33203125" bestFit="1" customWidth="1"/>
    <col min="23" max="23" width="28.109375" bestFit="1" customWidth="1"/>
    <col min="24" max="24" width="19.6640625" bestFit="1" customWidth="1"/>
  </cols>
  <sheetData>
    <row r="1" spans="1:23" ht="31.2" x14ac:dyDescent="0.6">
      <c r="B1" s="25" t="s">
        <v>569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3" x14ac:dyDescent="0.3">
      <c r="F2" s="31" t="s">
        <v>32</v>
      </c>
      <c r="G2" s="31"/>
      <c r="H2" s="11">
        <f>COUNTA(C11:C54)</f>
        <v>44</v>
      </c>
    </row>
    <row r="3" spans="1:23" x14ac:dyDescent="0.3">
      <c r="F3" s="31" t="s">
        <v>33</v>
      </c>
      <c r="G3" s="31"/>
      <c r="H3" s="11">
        <f>COUNTA(F8:S8)</f>
        <v>7</v>
      </c>
    </row>
    <row r="4" spans="1:23" x14ac:dyDescent="0.3">
      <c r="B4" s="9"/>
      <c r="C4" s="35" t="s">
        <v>23</v>
      </c>
      <c r="D4" s="35"/>
      <c r="E4" s="3"/>
    </row>
    <row r="6" spans="1:23" x14ac:dyDescent="0.3">
      <c r="E6" s="1" t="s">
        <v>0</v>
      </c>
      <c r="F6" s="26" t="s">
        <v>540</v>
      </c>
      <c r="G6" s="26"/>
      <c r="H6" s="26" t="s">
        <v>434</v>
      </c>
      <c r="I6" s="26"/>
      <c r="J6" s="26" t="s">
        <v>304</v>
      </c>
      <c r="K6" s="26"/>
      <c r="L6" s="26" t="s">
        <v>567</v>
      </c>
      <c r="M6" s="26"/>
      <c r="N6" s="26" t="s">
        <v>568</v>
      </c>
      <c r="O6" s="26"/>
      <c r="P6" s="26" t="s">
        <v>44</v>
      </c>
      <c r="Q6" s="26"/>
      <c r="R6" s="26" t="s">
        <v>534</v>
      </c>
      <c r="S6" s="26"/>
    </row>
    <row r="7" spans="1:23" x14ac:dyDescent="0.3">
      <c r="E7" s="1" t="s">
        <v>10</v>
      </c>
      <c r="F7" s="23">
        <v>2</v>
      </c>
      <c r="G7" s="24"/>
      <c r="H7" s="23">
        <v>3</v>
      </c>
      <c r="I7" s="24"/>
      <c r="J7" s="23">
        <v>4</v>
      </c>
      <c r="K7" s="24"/>
      <c r="L7" s="23">
        <v>3</v>
      </c>
      <c r="M7" s="24"/>
      <c r="N7" s="23">
        <v>3</v>
      </c>
      <c r="O7" s="24"/>
      <c r="P7" s="23">
        <v>5</v>
      </c>
      <c r="Q7" s="24"/>
      <c r="R7" s="23">
        <v>6</v>
      </c>
      <c r="S7" s="24"/>
    </row>
    <row r="8" spans="1:23" x14ac:dyDescent="0.3">
      <c r="E8" s="1" t="s">
        <v>1</v>
      </c>
      <c r="F8" s="29">
        <v>45613</v>
      </c>
      <c r="G8" s="29"/>
      <c r="H8" s="29">
        <v>45263</v>
      </c>
      <c r="I8" s="29"/>
      <c r="J8" s="29">
        <v>45326</v>
      </c>
      <c r="K8" s="29"/>
      <c r="L8" s="29">
        <v>45367</v>
      </c>
      <c r="M8" s="29"/>
      <c r="N8" s="29">
        <v>45367</v>
      </c>
      <c r="O8" s="29"/>
      <c r="P8" s="29">
        <v>45375</v>
      </c>
      <c r="Q8" s="29"/>
      <c r="R8" s="29">
        <v>45458</v>
      </c>
      <c r="S8" s="29"/>
      <c r="V8" s="11"/>
    </row>
    <row r="9" spans="1:23" x14ac:dyDescent="0.3">
      <c r="E9" s="1" t="s">
        <v>2</v>
      </c>
      <c r="F9" s="23">
        <v>34</v>
      </c>
      <c r="G9" s="24"/>
      <c r="H9" s="23">
        <v>35</v>
      </c>
      <c r="I9" s="24"/>
      <c r="J9" s="23">
        <v>191</v>
      </c>
      <c r="K9" s="24"/>
      <c r="L9" s="23">
        <v>33</v>
      </c>
      <c r="M9" s="24"/>
      <c r="N9" s="23">
        <v>22</v>
      </c>
      <c r="O9" s="24"/>
      <c r="P9" s="23">
        <v>191</v>
      </c>
      <c r="Q9" s="24"/>
      <c r="R9" s="23"/>
      <c r="S9" s="24"/>
    </row>
    <row r="10" spans="1:23" x14ac:dyDescent="0.3">
      <c r="A10" s="6" t="s">
        <v>572</v>
      </c>
      <c r="B10" s="1" t="s">
        <v>9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8</v>
      </c>
      <c r="U10" s="1" t="s">
        <v>9</v>
      </c>
      <c r="V10" s="1" t="s">
        <v>34</v>
      </c>
      <c r="W10" s="1" t="s">
        <v>36</v>
      </c>
    </row>
    <row r="11" spans="1:23" x14ac:dyDescent="0.3">
      <c r="A11" s="20">
        <v>7</v>
      </c>
      <c r="B11" s="5">
        <f t="shared" ref="B11:B54" si="0">U11</f>
        <v>1</v>
      </c>
      <c r="C11" s="6" t="s">
        <v>408</v>
      </c>
      <c r="D11" s="6" t="s">
        <v>347</v>
      </c>
      <c r="E11" s="6" t="s">
        <v>397</v>
      </c>
      <c r="F11" s="6">
        <v>1</v>
      </c>
      <c r="G11" s="7">
        <f t="shared" ref="G11:G47" si="1">IF(F11=0,,($F$9-F11)*$F$7*100/$F$9)</f>
        <v>194.11764705882354</v>
      </c>
      <c r="H11" s="6">
        <v>1</v>
      </c>
      <c r="I11" s="7">
        <f t="shared" ref="I11:I51" si="2">IF(H11=0,,($H$9-H11)*$H$7*100/$H$9)</f>
        <v>291.42857142857144</v>
      </c>
      <c r="J11" s="6">
        <v>36</v>
      </c>
      <c r="K11" s="7">
        <f t="shared" ref="K11:K54" si="3">IF(J11=0,,($J$9-J11)*$J$7*100/$J$9)</f>
        <v>324.60732984293196</v>
      </c>
      <c r="L11" s="6">
        <v>1</v>
      </c>
      <c r="M11" s="7">
        <f t="shared" ref="M11:M54" si="4">IF(L11=0,,($L$9-L11)*$L$7*100/$L$9)</f>
        <v>290.90909090909093</v>
      </c>
      <c r="N11" s="6">
        <v>8</v>
      </c>
      <c r="O11" s="7">
        <f t="shared" ref="O11:O39" si="5">IF(N11=0,,($N$9-N11)*$N$7*100/$N$9)</f>
        <v>190.90909090909091</v>
      </c>
      <c r="P11" s="14">
        <v>3</v>
      </c>
      <c r="Q11" s="7">
        <f t="shared" ref="Q11:Q54" si="6">IF(P11=0,,($P$9-P11)*$P$7*100/$P$9)</f>
        <v>492.14659685863876</v>
      </c>
      <c r="R11" s="14"/>
      <c r="S11" s="7">
        <f t="shared" ref="S11:S54" si="7">IF(R11=0,,($R$9-R11)*$R$7*100/$R$9)</f>
        <v>0</v>
      </c>
      <c r="T11" s="8">
        <f>G11+I11+K11+M11+O11+Q11</f>
        <v>1784.1183270071476</v>
      </c>
      <c r="U11" s="6">
        <f t="shared" ref="U11:U54" si="8">ROW(C11)-10</f>
        <v>1</v>
      </c>
      <c r="V11" s="6">
        <f t="shared" ref="V11:V54" si="9">COUNTA(F11,H11,J11,N11,R11,P11)</f>
        <v>5</v>
      </c>
      <c r="W11" s="13">
        <f t="shared" ref="W11:W54" si="10">V11/$H$3</f>
        <v>0.7142857142857143</v>
      </c>
    </row>
    <row r="12" spans="1:23" x14ac:dyDescent="0.3">
      <c r="A12" s="20">
        <v>16</v>
      </c>
      <c r="B12" s="5">
        <f t="shared" si="0"/>
        <v>2</v>
      </c>
      <c r="C12" s="6" t="s">
        <v>63</v>
      </c>
      <c r="D12" s="6" t="s">
        <v>583</v>
      </c>
      <c r="E12" s="6" t="s">
        <v>65</v>
      </c>
      <c r="F12" s="6">
        <v>2</v>
      </c>
      <c r="G12" s="7">
        <f t="shared" si="1"/>
        <v>188.23529411764707</v>
      </c>
      <c r="H12" s="6">
        <v>3</v>
      </c>
      <c r="I12" s="7">
        <f t="shared" si="2"/>
        <v>274.28571428571428</v>
      </c>
      <c r="J12" s="6">
        <v>12</v>
      </c>
      <c r="K12" s="7">
        <f t="shared" si="3"/>
        <v>374.86910994764401</v>
      </c>
      <c r="L12" s="6">
        <v>3</v>
      </c>
      <c r="M12" s="7">
        <f t="shared" si="4"/>
        <v>272.72727272727275</v>
      </c>
      <c r="N12" s="6">
        <v>7</v>
      </c>
      <c r="O12" s="7">
        <f t="shared" si="5"/>
        <v>204.54545454545453</v>
      </c>
      <c r="P12" s="6">
        <v>23</v>
      </c>
      <c r="Q12" s="7">
        <f t="shared" si="6"/>
        <v>439.79057591623035</v>
      </c>
      <c r="R12" s="6"/>
      <c r="S12" s="7">
        <f t="shared" si="7"/>
        <v>0</v>
      </c>
      <c r="T12" s="8">
        <f t="shared" ref="T12:T54" si="11">G12+I12+K12+M12+O12+Q12</f>
        <v>1754.4534215399631</v>
      </c>
      <c r="U12" s="6">
        <f t="shared" si="8"/>
        <v>2</v>
      </c>
      <c r="V12" s="6">
        <f t="shared" si="9"/>
        <v>5</v>
      </c>
      <c r="W12" s="13">
        <f t="shared" si="10"/>
        <v>0.7142857142857143</v>
      </c>
    </row>
    <row r="13" spans="1:23" x14ac:dyDescent="0.3">
      <c r="A13" s="20">
        <v>11</v>
      </c>
      <c r="B13" s="5">
        <f t="shared" si="0"/>
        <v>3</v>
      </c>
      <c r="C13" s="6" t="s">
        <v>61</v>
      </c>
      <c r="D13" s="6" t="s">
        <v>62</v>
      </c>
      <c r="E13" s="6" t="s">
        <v>397</v>
      </c>
      <c r="F13" s="6">
        <v>4</v>
      </c>
      <c r="G13" s="7">
        <f t="shared" si="1"/>
        <v>176.47058823529412</v>
      </c>
      <c r="H13" s="6">
        <v>3</v>
      </c>
      <c r="I13" s="7">
        <f t="shared" si="2"/>
        <v>274.28571428571428</v>
      </c>
      <c r="J13" s="6">
        <v>33</v>
      </c>
      <c r="K13" s="7">
        <f t="shared" si="3"/>
        <v>330.89005235602093</v>
      </c>
      <c r="L13" s="6">
        <v>2</v>
      </c>
      <c r="M13" s="7">
        <f t="shared" si="4"/>
        <v>281.81818181818181</v>
      </c>
      <c r="N13" s="6"/>
      <c r="O13" s="7">
        <f t="shared" si="5"/>
        <v>0</v>
      </c>
      <c r="P13" s="14">
        <v>6</v>
      </c>
      <c r="Q13" s="7">
        <f t="shared" si="6"/>
        <v>484.29319371727746</v>
      </c>
      <c r="R13" s="14"/>
      <c r="S13" s="7">
        <f t="shared" si="7"/>
        <v>0</v>
      </c>
      <c r="T13" s="8">
        <f t="shared" si="11"/>
        <v>1547.7577304124886</v>
      </c>
      <c r="U13" s="6">
        <f t="shared" si="8"/>
        <v>3</v>
      </c>
      <c r="V13" s="6">
        <f t="shared" si="9"/>
        <v>4</v>
      </c>
      <c r="W13" s="13">
        <f t="shared" si="10"/>
        <v>0.5714285714285714</v>
      </c>
    </row>
    <row r="14" spans="1:23" x14ac:dyDescent="0.3">
      <c r="A14" s="20">
        <v>10</v>
      </c>
      <c r="B14" s="5">
        <f t="shared" si="0"/>
        <v>4</v>
      </c>
      <c r="C14" s="6" t="s">
        <v>51</v>
      </c>
      <c r="D14" s="6" t="s">
        <v>50</v>
      </c>
      <c r="E14" s="6" t="s">
        <v>49</v>
      </c>
      <c r="F14" s="6"/>
      <c r="G14" s="7">
        <f t="shared" si="1"/>
        <v>0</v>
      </c>
      <c r="H14" s="6">
        <v>2</v>
      </c>
      <c r="I14" s="7">
        <f t="shared" si="2"/>
        <v>282.85714285714283</v>
      </c>
      <c r="J14" s="6">
        <v>13</v>
      </c>
      <c r="K14" s="7">
        <f t="shared" si="3"/>
        <v>372.77486910994764</v>
      </c>
      <c r="L14" s="6"/>
      <c r="M14" s="7">
        <f t="shared" si="4"/>
        <v>0</v>
      </c>
      <c r="N14" s="6">
        <v>5</v>
      </c>
      <c r="O14" s="7">
        <f t="shared" si="5"/>
        <v>231.81818181818181</v>
      </c>
      <c r="P14" s="18">
        <v>11</v>
      </c>
      <c r="Q14" s="7">
        <f t="shared" si="6"/>
        <v>471.20418848167537</v>
      </c>
      <c r="R14" s="14"/>
      <c r="S14" s="7">
        <f t="shared" si="7"/>
        <v>0</v>
      </c>
      <c r="T14" s="8">
        <f t="shared" si="11"/>
        <v>1358.6543822669476</v>
      </c>
      <c r="U14" s="6">
        <f t="shared" si="8"/>
        <v>4</v>
      </c>
      <c r="V14" s="6">
        <f t="shared" si="9"/>
        <v>4</v>
      </c>
      <c r="W14" s="13">
        <f t="shared" si="10"/>
        <v>0.5714285714285714</v>
      </c>
    </row>
    <row r="15" spans="1:23" x14ac:dyDescent="0.3">
      <c r="A15" s="21">
        <v>51</v>
      </c>
      <c r="B15" s="5">
        <f t="shared" si="0"/>
        <v>5</v>
      </c>
      <c r="C15" s="6" t="s">
        <v>54</v>
      </c>
      <c r="D15" s="6" t="s">
        <v>55</v>
      </c>
      <c r="E15" s="6" t="s">
        <v>397</v>
      </c>
      <c r="F15" s="6">
        <v>8</v>
      </c>
      <c r="G15" s="7">
        <f t="shared" si="1"/>
        <v>152.94117647058823</v>
      </c>
      <c r="H15" s="6">
        <v>7</v>
      </c>
      <c r="I15" s="7">
        <f t="shared" si="2"/>
        <v>240</v>
      </c>
      <c r="J15" s="6">
        <v>40</v>
      </c>
      <c r="K15" s="7">
        <f t="shared" si="3"/>
        <v>316.23036649214657</v>
      </c>
      <c r="L15" s="6">
        <v>10</v>
      </c>
      <c r="M15" s="7">
        <f t="shared" si="4"/>
        <v>209.09090909090909</v>
      </c>
      <c r="N15" s="6"/>
      <c r="O15" s="7">
        <f t="shared" si="5"/>
        <v>0</v>
      </c>
      <c r="P15" s="6">
        <v>52</v>
      </c>
      <c r="Q15" s="7">
        <f t="shared" si="6"/>
        <v>363.87434554973822</v>
      </c>
      <c r="R15" s="6"/>
      <c r="S15" s="7">
        <f t="shared" si="7"/>
        <v>0</v>
      </c>
      <c r="T15" s="8">
        <f t="shared" si="11"/>
        <v>1282.1367976033821</v>
      </c>
      <c r="U15" s="6">
        <f t="shared" si="8"/>
        <v>5</v>
      </c>
      <c r="V15" s="6">
        <f t="shared" si="9"/>
        <v>4</v>
      </c>
      <c r="W15" s="13">
        <f t="shared" si="10"/>
        <v>0.5714285714285714</v>
      </c>
    </row>
    <row r="16" spans="1:23" x14ac:dyDescent="0.3">
      <c r="A16" s="6"/>
      <c r="B16" s="5">
        <f t="shared" si="0"/>
        <v>6</v>
      </c>
      <c r="C16" s="6" t="s">
        <v>343</v>
      </c>
      <c r="D16" s="6" t="s">
        <v>344</v>
      </c>
      <c r="E16" s="6" t="s">
        <v>398</v>
      </c>
      <c r="F16" s="6">
        <v>13</v>
      </c>
      <c r="G16" s="7">
        <f t="shared" si="1"/>
        <v>123.52941176470588</v>
      </c>
      <c r="H16" s="6">
        <v>16</v>
      </c>
      <c r="I16" s="7">
        <f t="shared" si="2"/>
        <v>162.85714285714286</v>
      </c>
      <c r="J16" s="6">
        <v>29</v>
      </c>
      <c r="K16" s="7">
        <f t="shared" si="3"/>
        <v>339.26701570680626</v>
      </c>
      <c r="L16" s="6">
        <v>3</v>
      </c>
      <c r="M16" s="7">
        <f t="shared" si="4"/>
        <v>272.72727272727275</v>
      </c>
      <c r="N16" s="6"/>
      <c r="O16" s="7">
        <f t="shared" si="5"/>
        <v>0</v>
      </c>
      <c r="P16" s="18">
        <v>93</v>
      </c>
      <c r="Q16" s="7">
        <f t="shared" si="6"/>
        <v>256.54450261780107</v>
      </c>
      <c r="R16" s="14"/>
      <c r="S16" s="7">
        <f t="shared" si="7"/>
        <v>0</v>
      </c>
      <c r="T16" s="8">
        <f t="shared" si="11"/>
        <v>1154.9253456737288</v>
      </c>
      <c r="U16" s="6">
        <f t="shared" si="8"/>
        <v>6</v>
      </c>
      <c r="V16" s="6">
        <f t="shared" si="9"/>
        <v>4</v>
      </c>
      <c r="W16" s="13">
        <f t="shared" si="10"/>
        <v>0.5714285714285714</v>
      </c>
    </row>
    <row r="17" spans="1:23" x14ac:dyDescent="0.3">
      <c r="A17" s="6"/>
      <c r="B17" s="5">
        <f t="shared" si="0"/>
        <v>7</v>
      </c>
      <c r="C17" s="6" t="s">
        <v>174</v>
      </c>
      <c r="D17" s="6" t="s">
        <v>175</v>
      </c>
      <c r="E17" s="6" t="s">
        <v>58</v>
      </c>
      <c r="F17" s="6">
        <v>22</v>
      </c>
      <c r="G17" s="7">
        <f t="shared" si="1"/>
        <v>70.588235294117652</v>
      </c>
      <c r="H17" s="6">
        <v>12</v>
      </c>
      <c r="I17" s="7">
        <f t="shared" si="2"/>
        <v>197.14285714285714</v>
      </c>
      <c r="J17" s="6">
        <v>24</v>
      </c>
      <c r="K17" s="7">
        <f t="shared" si="3"/>
        <v>349.73821989528795</v>
      </c>
      <c r="L17" s="6">
        <v>5</v>
      </c>
      <c r="M17" s="7">
        <f t="shared" si="4"/>
        <v>254.54545454545453</v>
      </c>
      <c r="N17" s="6"/>
      <c r="O17" s="7">
        <f t="shared" si="5"/>
        <v>0</v>
      </c>
      <c r="P17" s="6">
        <v>91</v>
      </c>
      <c r="Q17" s="7">
        <f t="shared" si="6"/>
        <v>261.78010471204186</v>
      </c>
      <c r="R17" s="6"/>
      <c r="S17" s="7">
        <f t="shared" si="7"/>
        <v>0</v>
      </c>
      <c r="T17" s="8">
        <f t="shared" si="11"/>
        <v>1133.7948715897592</v>
      </c>
      <c r="U17" s="6">
        <f t="shared" si="8"/>
        <v>7</v>
      </c>
      <c r="V17" s="6">
        <f t="shared" si="9"/>
        <v>4</v>
      </c>
      <c r="W17" s="13">
        <f t="shared" si="10"/>
        <v>0.5714285714285714</v>
      </c>
    </row>
    <row r="18" spans="1:23" x14ac:dyDescent="0.3">
      <c r="A18" s="6"/>
      <c r="B18" s="5">
        <f t="shared" si="0"/>
        <v>8</v>
      </c>
      <c r="C18" s="6" t="s">
        <v>59</v>
      </c>
      <c r="D18" s="6" t="s">
        <v>60</v>
      </c>
      <c r="E18" s="6" t="s">
        <v>397</v>
      </c>
      <c r="F18" s="6">
        <v>18</v>
      </c>
      <c r="G18" s="7">
        <f t="shared" si="1"/>
        <v>94.117647058823536</v>
      </c>
      <c r="H18" s="6">
        <v>21</v>
      </c>
      <c r="I18" s="7">
        <f t="shared" si="2"/>
        <v>120</v>
      </c>
      <c r="J18" s="6">
        <v>74</v>
      </c>
      <c r="K18" s="7">
        <f t="shared" si="3"/>
        <v>245.0261780104712</v>
      </c>
      <c r="L18" s="6">
        <v>8</v>
      </c>
      <c r="M18" s="7">
        <f t="shared" si="4"/>
        <v>227.27272727272728</v>
      </c>
      <c r="N18" s="6"/>
      <c r="O18" s="7">
        <f t="shared" si="5"/>
        <v>0</v>
      </c>
      <c r="P18" s="6">
        <v>38</v>
      </c>
      <c r="Q18" s="7">
        <f t="shared" si="6"/>
        <v>400.52356020942409</v>
      </c>
      <c r="R18" s="6"/>
      <c r="S18" s="7">
        <f t="shared" si="7"/>
        <v>0</v>
      </c>
      <c r="T18" s="8">
        <f t="shared" si="11"/>
        <v>1086.940112551446</v>
      </c>
      <c r="U18" s="6">
        <f t="shared" si="8"/>
        <v>8</v>
      </c>
      <c r="V18" s="6">
        <f t="shared" si="9"/>
        <v>4</v>
      </c>
      <c r="W18" s="13">
        <f t="shared" si="10"/>
        <v>0.5714285714285714</v>
      </c>
    </row>
    <row r="19" spans="1:23" x14ac:dyDescent="0.3">
      <c r="A19" s="6"/>
      <c r="B19" s="5">
        <f t="shared" si="0"/>
        <v>9</v>
      </c>
      <c r="C19" s="6" t="s">
        <v>413</v>
      </c>
      <c r="D19" s="6" t="s">
        <v>406</v>
      </c>
      <c r="E19" s="6" t="s">
        <v>72</v>
      </c>
      <c r="F19" s="6"/>
      <c r="G19" s="7">
        <f t="shared" si="1"/>
        <v>0</v>
      </c>
      <c r="H19" s="6">
        <v>12</v>
      </c>
      <c r="I19" s="7">
        <f t="shared" si="2"/>
        <v>197.14285714285714</v>
      </c>
      <c r="J19" s="6">
        <v>118</v>
      </c>
      <c r="K19" s="7">
        <f t="shared" si="3"/>
        <v>152.87958115183247</v>
      </c>
      <c r="L19" s="6">
        <v>16</v>
      </c>
      <c r="M19" s="7">
        <f t="shared" si="4"/>
        <v>154.54545454545453</v>
      </c>
      <c r="N19" s="6">
        <v>19</v>
      </c>
      <c r="O19" s="7">
        <f t="shared" si="5"/>
        <v>40.909090909090907</v>
      </c>
      <c r="P19" s="6">
        <v>70</v>
      </c>
      <c r="Q19" s="7">
        <f t="shared" si="6"/>
        <v>316.75392670157066</v>
      </c>
      <c r="R19" s="6"/>
      <c r="S19" s="7">
        <f t="shared" si="7"/>
        <v>0</v>
      </c>
      <c r="T19" s="8">
        <f t="shared" si="11"/>
        <v>862.23091045080571</v>
      </c>
      <c r="U19" s="6">
        <f t="shared" si="8"/>
        <v>9</v>
      </c>
      <c r="V19" s="6">
        <f t="shared" si="9"/>
        <v>4</v>
      </c>
      <c r="W19" s="13">
        <f t="shared" si="10"/>
        <v>0.5714285714285714</v>
      </c>
    </row>
    <row r="20" spans="1:23" x14ac:dyDescent="0.3">
      <c r="A20" s="6"/>
      <c r="B20" s="5">
        <f t="shared" si="0"/>
        <v>10</v>
      </c>
      <c r="C20" s="6" t="s">
        <v>449</v>
      </c>
      <c r="D20" s="6" t="s">
        <v>450</v>
      </c>
      <c r="E20" s="6" t="s">
        <v>398</v>
      </c>
      <c r="F20" s="6"/>
      <c r="G20" s="7">
        <f t="shared" si="1"/>
        <v>0</v>
      </c>
      <c r="H20" s="6">
        <v>22</v>
      </c>
      <c r="I20" s="7">
        <f t="shared" si="2"/>
        <v>111.42857142857143</v>
      </c>
      <c r="J20" s="6">
        <v>95</v>
      </c>
      <c r="K20" s="7">
        <f t="shared" si="3"/>
        <v>201.04712041884818</v>
      </c>
      <c r="L20" s="6">
        <v>11</v>
      </c>
      <c r="M20" s="7">
        <f t="shared" si="4"/>
        <v>200</v>
      </c>
      <c r="N20" s="6"/>
      <c r="O20" s="7">
        <f t="shared" si="5"/>
        <v>0</v>
      </c>
      <c r="P20" s="6">
        <v>85</v>
      </c>
      <c r="Q20" s="7">
        <f t="shared" si="6"/>
        <v>277.4869109947644</v>
      </c>
      <c r="R20" s="6"/>
      <c r="S20" s="7">
        <f t="shared" si="7"/>
        <v>0</v>
      </c>
      <c r="T20" s="8">
        <f t="shared" si="11"/>
        <v>789.96260284218397</v>
      </c>
      <c r="U20" s="6">
        <f t="shared" si="8"/>
        <v>10</v>
      </c>
      <c r="V20" s="6">
        <f t="shared" si="9"/>
        <v>3</v>
      </c>
      <c r="W20" s="13">
        <f t="shared" si="10"/>
        <v>0.42857142857142855</v>
      </c>
    </row>
    <row r="21" spans="1:23" x14ac:dyDescent="0.3">
      <c r="A21" s="6"/>
      <c r="B21" s="5">
        <f t="shared" si="0"/>
        <v>11</v>
      </c>
      <c r="C21" s="6" t="s">
        <v>415</v>
      </c>
      <c r="D21" s="6" t="s">
        <v>179</v>
      </c>
      <c r="E21" s="6" t="s">
        <v>397</v>
      </c>
      <c r="F21" s="6"/>
      <c r="G21" s="7">
        <f t="shared" si="1"/>
        <v>0</v>
      </c>
      <c r="H21" s="6">
        <v>18</v>
      </c>
      <c r="I21" s="7">
        <f t="shared" si="2"/>
        <v>145.71428571428572</v>
      </c>
      <c r="J21" s="6">
        <v>141</v>
      </c>
      <c r="K21" s="7">
        <f t="shared" si="3"/>
        <v>104.71204188481676</v>
      </c>
      <c r="L21" s="6">
        <v>7</v>
      </c>
      <c r="M21" s="7">
        <f t="shared" si="4"/>
        <v>236.36363636363637</v>
      </c>
      <c r="N21" s="6"/>
      <c r="O21" s="7">
        <f t="shared" si="5"/>
        <v>0</v>
      </c>
      <c r="P21" s="6">
        <v>102</v>
      </c>
      <c r="Q21" s="7">
        <f t="shared" si="6"/>
        <v>232.98429319371726</v>
      </c>
      <c r="R21" s="6"/>
      <c r="S21" s="7">
        <f t="shared" si="7"/>
        <v>0</v>
      </c>
      <c r="T21" s="8">
        <f t="shared" si="11"/>
        <v>719.77425715645609</v>
      </c>
      <c r="U21" s="6">
        <f t="shared" si="8"/>
        <v>11</v>
      </c>
      <c r="V21" s="6">
        <f t="shared" si="9"/>
        <v>3</v>
      </c>
      <c r="W21" s="13">
        <f t="shared" si="10"/>
        <v>0.42857142857142855</v>
      </c>
    </row>
    <row r="22" spans="1:23" x14ac:dyDescent="0.3">
      <c r="A22" s="6"/>
      <c r="B22" s="5">
        <f t="shared" si="0"/>
        <v>12</v>
      </c>
      <c r="C22" s="6" t="s">
        <v>166</v>
      </c>
      <c r="D22" s="6" t="s">
        <v>180</v>
      </c>
      <c r="E22" s="6" t="s">
        <v>399</v>
      </c>
      <c r="F22" s="6">
        <v>24</v>
      </c>
      <c r="G22" s="7">
        <f t="shared" si="1"/>
        <v>58.823529411764703</v>
      </c>
      <c r="H22" s="6">
        <v>17</v>
      </c>
      <c r="I22" s="7">
        <f t="shared" si="2"/>
        <v>154.28571428571428</v>
      </c>
      <c r="J22" s="6">
        <v>120</v>
      </c>
      <c r="K22" s="7">
        <f t="shared" si="3"/>
        <v>148.6910994764398</v>
      </c>
      <c r="L22" s="6">
        <v>18</v>
      </c>
      <c r="M22" s="7">
        <f t="shared" si="4"/>
        <v>136.36363636363637</v>
      </c>
      <c r="N22" s="6"/>
      <c r="O22" s="7">
        <f t="shared" si="5"/>
        <v>0</v>
      </c>
      <c r="P22" s="6">
        <v>117</v>
      </c>
      <c r="Q22" s="7">
        <f t="shared" si="6"/>
        <v>193.717277486911</v>
      </c>
      <c r="R22" s="6"/>
      <c r="S22" s="7">
        <f t="shared" si="7"/>
        <v>0</v>
      </c>
      <c r="T22" s="8">
        <f t="shared" si="11"/>
        <v>691.88125702446621</v>
      </c>
      <c r="U22" s="6">
        <f t="shared" si="8"/>
        <v>12</v>
      </c>
      <c r="V22" s="6">
        <f t="shared" si="9"/>
        <v>4</v>
      </c>
      <c r="W22" s="13">
        <f t="shared" si="10"/>
        <v>0.5714285714285714</v>
      </c>
    </row>
    <row r="23" spans="1:23" x14ac:dyDescent="0.3">
      <c r="A23" s="6"/>
      <c r="B23" s="5">
        <f t="shared" si="0"/>
        <v>13</v>
      </c>
      <c r="C23" s="6" t="s">
        <v>411</v>
      </c>
      <c r="D23" s="6" t="s">
        <v>181</v>
      </c>
      <c r="E23" s="6" t="s">
        <v>397</v>
      </c>
      <c r="F23" s="6">
        <v>28</v>
      </c>
      <c r="G23" s="7">
        <f t="shared" si="1"/>
        <v>35.294117647058826</v>
      </c>
      <c r="H23" s="6">
        <v>9</v>
      </c>
      <c r="I23" s="7">
        <f t="shared" si="2"/>
        <v>222.85714285714286</v>
      </c>
      <c r="J23" s="6">
        <v>102</v>
      </c>
      <c r="K23" s="7">
        <f t="shared" si="3"/>
        <v>186.38743455497382</v>
      </c>
      <c r="L23" s="6">
        <v>12</v>
      </c>
      <c r="M23" s="7">
        <f t="shared" si="4"/>
        <v>190.90909090909091</v>
      </c>
      <c r="N23" s="6"/>
      <c r="O23" s="7">
        <f t="shared" si="5"/>
        <v>0</v>
      </c>
      <c r="P23" s="6">
        <v>181</v>
      </c>
      <c r="Q23" s="7">
        <f t="shared" si="6"/>
        <v>26.178010471204189</v>
      </c>
      <c r="R23" s="6"/>
      <c r="S23" s="7">
        <f t="shared" si="7"/>
        <v>0</v>
      </c>
      <c r="T23" s="8">
        <f t="shared" si="11"/>
        <v>661.62579643947061</v>
      </c>
      <c r="U23" s="6">
        <f t="shared" si="8"/>
        <v>13</v>
      </c>
      <c r="V23" s="6">
        <f t="shared" si="9"/>
        <v>4</v>
      </c>
      <c r="W23" s="13">
        <f t="shared" si="10"/>
        <v>0.5714285714285714</v>
      </c>
    </row>
    <row r="24" spans="1:23" x14ac:dyDescent="0.3">
      <c r="A24" s="6"/>
      <c r="B24" s="5">
        <f t="shared" si="0"/>
        <v>14</v>
      </c>
      <c r="C24" s="6" t="s">
        <v>211</v>
      </c>
      <c r="D24" s="6" t="s">
        <v>183</v>
      </c>
      <c r="E24" s="6" t="s">
        <v>400</v>
      </c>
      <c r="F24" s="6"/>
      <c r="G24" s="7">
        <f t="shared" si="1"/>
        <v>0</v>
      </c>
      <c r="H24" s="6">
        <v>6</v>
      </c>
      <c r="I24" s="7">
        <f t="shared" si="2"/>
        <v>248.57142857142858</v>
      </c>
      <c r="J24" s="6">
        <v>106</v>
      </c>
      <c r="K24" s="7">
        <f t="shared" si="3"/>
        <v>178.01047120418849</v>
      </c>
      <c r="L24" s="6">
        <v>17</v>
      </c>
      <c r="M24" s="7">
        <f t="shared" si="4"/>
        <v>145.45454545454547</v>
      </c>
      <c r="N24" s="6"/>
      <c r="O24" s="7">
        <f t="shared" si="5"/>
        <v>0</v>
      </c>
      <c r="P24" s="6">
        <v>159</v>
      </c>
      <c r="Q24" s="7">
        <f t="shared" si="6"/>
        <v>83.769633507853399</v>
      </c>
      <c r="R24" s="6"/>
      <c r="S24" s="7">
        <f t="shared" si="7"/>
        <v>0</v>
      </c>
      <c r="T24" s="8">
        <f t="shared" si="11"/>
        <v>655.80607873801603</v>
      </c>
      <c r="U24" s="6">
        <f t="shared" si="8"/>
        <v>14</v>
      </c>
      <c r="V24" s="6">
        <f t="shared" si="9"/>
        <v>3</v>
      </c>
      <c r="W24" s="13">
        <f t="shared" si="10"/>
        <v>0.42857142857142855</v>
      </c>
    </row>
    <row r="25" spans="1:23" x14ac:dyDescent="0.3">
      <c r="A25" s="6"/>
      <c r="B25" s="5">
        <f t="shared" si="0"/>
        <v>15</v>
      </c>
      <c r="C25" s="6" t="s">
        <v>123</v>
      </c>
      <c r="D25" s="6" t="s">
        <v>407</v>
      </c>
      <c r="E25" s="6" t="s">
        <v>397</v>
      </c>
      <c r="F25" s="6"/>
      <c r="G25" s="7">
        <f t="shared" si="1"/>
        <v>0</v>
      </c>
      <c r="H25" s="6">
        <v>19</v>
      </c>
      <c r="I25" s="7">
        <f t="shared" si="2"/>
        <v>137.14285714285714</v>
      </c>
      <c r="J25" s="6">
        <v>101</v>
      </c>
      <c r="K25" s="7">
        <f t="shared" si="3"/>
        <v>188.48167539267016</v>
      </c>
      <c r="L25" s="6">
        <v>9</v>
      </c>
      <c r="M25" s="7">
        <f t="shared" si="4"/>
        <v>218.18181818181819</v>
      </c>
      <c r="N25" s="6"/>
      <c r="O25" s="7">
        <f t="shared" si="5"/>
        <v>0</v>
      </c>
      <c r="P25" s="6">
        <v>159</v>
      </c>
      <c r="Q25" s="7">
        <f t="shared" si="6"/>
        <v>83.769633507853399</v>
      </c>
      <c r="R25" s="6"/>
      <c r="S25" s="7">
        <f t="shared" si="7"/>
        <v>0</v>
      </c>
      <c r="T25" s="8">
        <f t="shared" si="11"/>
        <v>627.57598422519891</v>
      </c>
      <c r="U25" s="6">
        <f t="shared" si="8"/>
        <v>15</v>
      </c>
      <c r="V25" s="6">
        <f t="shared" si="9"/>
        <v>3</v>
      </c>
      <c r="W25" s="13">
        <f t="shared" si="10"/>
        <v>0.42857142857142855</v>
      </c>
    </row>
    <row r="26" spans="1:23" x14ac:dyDescent="0.3">
      <c r="A26" s="6"/>
      <c r="B26" s="5">
        <f t="shared" si="0"/>
        <v>16</v>
      </c>
      <c r="C26" s="6" t="s">
        <v>85</v>
      </c>
      <c r="D26" s="6" t="s">
        <v>86</v>
      </c>
      <c r="E26" s="6" t="s">
        <v>72</v>
      </c>
      <c r="F26" s="6">
        <v>21</v>
      </c>
      <c r="G26" s="7">
        <f t="shared" si="1"/>
        <v>76.470588235294116</v>
      </c>
      <c r="H26" s="6">
        <v>5</v>
      </c>
      <c r="I26" s="7">
        <f t="shared" si="2"/>
        <v>257.14285714285717</v>
      </c>
      <c r="J26" s="6"/>
      <c r="K26" s="7">
        <f t="shared" si="3"/>
        <v>0</v>
      </c>
      <c r="L26" s="6"/>
      <c r="M26" s="7">
        <f t="shared" si="4"/>
        <v>0</v>
      </c>
      <c r="N26" s="6"/>
      <c r="O26" s="7">
        <f t="shared" si="5"/>
        <v>0</v>
      </c>
      <c r="P26" s="18">
        <v>98</v>
      </c>
      <c r="Q26" s="7">
        <f t="shared" si="6"/>
        <v>243.45549738219896</v>
      </c>
      <c r="R26" s="14"/>
      <c r="S26" s="7">
        <f t="shared" si="7"/>
        <v>0</v>
      </c>
      <c r="T26" s="8">
        <f t="shared" si="11"/>
        <v>577.06894276035018</v>
      </c>
      <c r="U26" s="6">
        <f t="shared" si="8"/>
        <v>16</v>
      </c>
      <c r="V26" s="6">
        <f t="shared" si="9"/>
        <v>3</v>
      </c>
      <c r="W26" s="13">
        <f t="shared" si="10"/>
        <v>0.42857142857142855</v>
      </c>
    </row>
    <row r="27" spans="1:23" x14ac:dyDescent="0.3">
      <c r="A27" s="6"/>
      <c r="B27" s="5">
        <f t="shared" si="0"/>
        <v>17</v>
      </c>
      <c r="C27" s="6" t="s">
        <v>176</v>
      </c>
      <c r="D27" s="6" t="s">
        <v>177</v>
      </c>
      <c r="E27" s="6" t="s">
        <v>397</v>
      </c>
      <c r="F27" s="6"/>
      <c r="G27" s="7">
        <f t="shared" si="1"/>
        <v>0</v>
      </c>
      <c r="H27" s="6">
        <v>20</v>
      </c>
      <c r="I27" s="7">
        <f t="shared" si="2"/>
        <v>128.57142857142858</v>
      </c>
      <c r="J27" s="6">
        <v>124</v>
      </c>
      <c r="K27" s="7">
        <f t="shared" si="3"/>
        <v>140.31413612565444</v>
      </c>
      <c r="L27" s="6">
        <v>15</v>
      </c>
      <c r="M27" s="7">
        <f t="shared" si="4"/>
        <v>163.63636363636363</v>
      </c>
      <c r="N27" s="6"/>
      <c r="O27" s="7">
        <f t="shared" si="5"/>
        <v>0</v>
      </c>
      <c r="P27" s="6">
        <v>142</v>
      </c>
      <c r="Q27" s="7">
        <f t="shared" si="6"/>
        <v>128.27225130890054</v>
      </c>
      <c r="R27" s="6"/>
      <c r="S27" s="7">
        <f t="shared" si="7"/>
        <v>0</v>
      </c>
      <c r="T27" s="8">
        <f t="shared" si="11"/>
        <v>560.79417964234722</v>
      </c>
      <c r="U27" s="6">
        <f t="shared" si="8"/>
        <v>17</v>
      </c>
      <c r="V27" s="6">
        <f t="shared" si="9"/>
        <v>3</v>
      </c>
      <c r="W27" s="13">
        <f t="shared" si="10"/>
        <v>0.42857142857142855</v>
      </c>
    </row>
    <row r="28" spans="1:23" x14ac:dyDescent="0.3">
      <c r="A28" s="6"/>
      <c r="B28" s="5">
        <f t="shared" si="0"/>
        <v>18</v>
      </c>
      <c r="C28" s="6" t="s">
        <v>416</v>
      </c>
      <c r="D28" s="6" t="s">
        <v>404</v>
      </c>
      <c r="E28" s="6" t="s">
        <v>401</v>
      </c>
      <c r="F28" s="6"/>
      <c r="G28" s="7">
        <f t="shared" si="1"/>
        <v>0</v>
      </c>
      <c r="H28" s="6">
        <v>8</v>
      </c>
      <c r="I28" s="7">
        <f t="shared" si="2"/>
        <v>231.42857142857142</v>
      </c>
      <c r="J28" s="6"/>
      <c r="K28" s="7">
        <f t="shared" si="3"/>
        <v>0</v>
      </c>
      <c r="L28" s="6">
        <v>6</v>
      </c>
      <c r="M28" s="7">
        <f t="shared" si="4"/>
        <v>245.45454545454547</v>
      </c>
      <c r="N28" s="6"/>
      <c r="O28" s="7">
        <f t="shared" si="5"/>
        <v>0</v>
      </c>
      <c r="P28" s="6"/>
      <c r="Q28" s="7">
        <f t="shared" si="6"/>
        <v>0</v>
      </c>
      <c r="R28" s="6"/>
      <c r="S28" s="7">
        <f t="shared" si="7"/>
        <v>0</v>
      </c>
      <c r="T28" s="8">
        <f t="shared" si="11"/>
        <v>476.88311688311688</v>
      </c>
      <c r="U28" s="6">
        <f t="shared" si="8"/>
        <v>18</v>
      </c>
      <c r="V28" s="6">
        <f t="shared" si="9"/>
        <v>1</v>
      </c>
      <c r="W28" s="13">
        <f t="shared" si="10"/>
        <v>0.14285714285714285</v>
      </c>
    </row>
    <row r="29" spans="1:23" x14ac:dyDescent="0.3">
      <c r="A29" s="6"/>
      <c r="B29" s="5">
        <f t="shared" si="0"/>
        <v>19</v>
      </c>
      <c r="C29" s="6" t="s">
        <v>119</v>
      </c>
      <c r="D29" s="6" t="s">
        <v>120</v>
      </c>
      <c r="E29" s="6" t="s">
        <v>65</v>
      </c>
      <c r="F29" s="6">
        <v>27</v>
      </c>
      <c r="G29" s="7">
        <f t="shared" si="1"/>
        <v>41.176470588235297</v>
      </c>
      <c r="H29" s="6">
        <v>28</v>
      </c>
      <c r="I29" s="7">
        <f t="shared" si="2"/>
        <v>60</v>
      </c>
      <c r="J29" s="6">
        <v>122</v>
      </c>
      <c r="K29" s="7">
        <f t="shared" si="3"/>
        <v>144.50261780104711</v>
      </c>
      <c r="L29" s="6">
        <v>19</v>
      </c>
      <c r="M29" s="7">
        <f t="shared" si="4"/>
        <v>127.27272727272727</v>
      </c>
      <c r="N29" s="6"/>
      <c r="O29" s="7">
        <f t="shared" si="5"/>
        <v>0</v>
      </c>
      <c r="P29" s="6">
        <v>153</v>
      </c>
      <c r="Q29" s="7">
        <f t="shared" si="6"/>
        <v>99.47643979057591</v>
      </c>
      <c r="R29" s="6"/>
      <c r="S29" s="7">
        <f t="shared" si="7"/>
        <v>0</v>
      </c>
      <c r="T29" s="8">
        <f t="shared" si="11"/>
        <v>472.42825545258557</v>
      </c>
      <c r="U29" s="6">
        <f t="shared" si="8"/>
        <v>19</v>
      </c>
      <c r="V29" s="6">
        <f t="shared" si="9"/>
        <v>4</v>
      </c>
      <c r="W29" s="13">
        <f t="shared" si="10"/>
        <v>0.5714285714285714</v>
      </c>
    </row>
    <row r="30" spans="1:23" x14ac:dyDescent="0.3">
      <c r="A30" s="6"/>
      <c r="B30" s="5">
        <f t="shared" si="0"/>
        <v>20</v>
      </c>
      <c r="C30" s="6" t="s">
        <v>403</v>
      </c>
      <c r="D30" s="6" t="s">
        <v>222</v>
      </c>
      <c r="E30" s="6" t="s">
        <v>400</v>
      </c>
      <c r="F30" s="6"/>
      <c r="G30" s="7">
        <f t="shared" si="1"/>
        <v>0</v>
      </c>
      <c r="H30" s="6">
        <v>11</v>
      </c>
      <c r="I30" s="7">
        <f t="shared" si="2"/>
        <v>205.71428571428572</v>
      </c>
      <c r="J30" s="6">
        <v>164</v>
      </c>
      <c r="K30" s="7">
        <f t="shared" si="3"/>
        <v>56.544502617801044</v>
      </c>
      <c r="L30" s="6">
        <v>22</v>
      </c>
      <c r="M30" s="7">
        <f t="shared" si="4"/>
        <v>100</v>
      </c>
      <c r="N30" s="6"/>
      <c r="O30" s="7">
        <f t="shared" si="5"/>
        <v>0</v>
      </c>
      <c r="P30" s="6">
        <v>167</v>
      </c>
      <c r="Q30" s="7">
        <f t="shared" si="6"/>
        <v>62.827225130890049</v>
      </c>
      <c r="R30" s="6"/>
      <c r="S30" s="7">
        <f t="shared" si="7"/>
        <v>0</v>
      </c>
      <c r="T30" s="8">
        <f t="shared" si="11"/>
        <v>425.08601346297678</v>
      </c>
      <c r="U30" s="6">
        <f t="shared" si="8"/>
        <v>20</v>
      </c>
      <c r="V30" s="6">
        <f t="shared" si="9"/>
        <v>3</v>
      </c>
      <c r="W30" s="13">
        <f t="shared" si="10"/>
        <v>0.42857142857142855</v>
      </c>
    </row>
    <row r="31" spans="1:23" x14ac:dyDescent="0.3">
      <c r="A31" s="6"/>
      <c r="B31" s="5">
        <f t="shared" si="0"/>
        <v>21</v>
      </c>
      <c r="C31" s="6" t="s">
        <v>409</v>
      </c>
      <c r="D31" s="6" t="s">
        <v>128</v>
      </c>
      <c r="E31" s="6" t="s">
        <v>399</v>
      </c>
      <c r="F31" s="6"/>
      <c r="G31" s="7">
        <f t="shared" si="1"/>
        <v>0</v>
      </c>
      <c r="H31" s="6">
        <v>10</v>
      </c>
      <c r="I31" s="7">
        <f t="shared" si="2"/>
        <v>214.28571428571428</v>
      </c>
      <c r="J31" s="6"/>
      <c r="K31" s="7">
        <f t="shared" si="3"/>
        <v>0</v>
      </c>
      <c r="L31" s="6">
        <v>13</v>
      </c>
      <c r="M31" s="7">
        <f t="shared" si="4"/>
        <v>181.81818181818181</v>
      </c>
      <c r="N31" s="6"/>
      <c r="O31" s="7">
        <f t="shared" si="5"/>
        <v>0</v>
      </c>
      <c r="P31" s="14"/>
      <c r="Q31" s="7">
        <f t="shared" si="6"/>
        <v>0</v>
      </c>
      <c r="R31" s="14"/>
      <c r="S31" s="7">
        <f t="shared" si="7"/>
        <v>0</v>
      </c>
      <c r="T31" s="8">
        <f t="shared" si="11"/>
        <v>396.10389610389609</v>
      </c>
      <c r="U31" s="6">
        <f t="shared" si="8"/>
        <v>21</v>
      </c>
      <c r="V31" s="6">
        <f t="shared" si="9"/>
        <v>1</v>
      </c>
      <c r="W31" s="13">
        <f t="shared" si="10"/>
        <v>0.14285714285714285</v>
      </c>
    </row>
    <row r="32" spans="1:23" x14ac:dyDescent="0.3">
      <c r="A32" s="6"/>
      <c r="B32" s="5">
        <f t="shared" si="0"/>
        <v>22</v>
      </c>
      <c r="C32" s="6" t="s">
        <v>412</v>
      </c>
      <c r="D32" s="6" t="s">
        <v>407</v>
      </c>
      <c r="E32" s="6" t="s">
        <v>400</v>
      </c>
      <c r="F32" s="6"/>
      <c r="G32" s="7">
        <f t="shared" si="1"/>
        <v>0</v>
      </c>
      <c r="H32" s="6"/>
      <c r="I32" s="7">
        <f t="shared" si="2"/>
        <v>0</v>
      </c>
      <c r="J32" s="6">
        <v>148</v>
      </c>
      <c r="K32" s="7">
        <f t="shared" si="3"/>
        <v>90.052356020942412</v>
      </c>
      <c r="L32" s="6"/>
      <c r="M32" s="7">
        <f t="shared" si="4"/>
        <v>0</v>
      </c>
      <c r="N32" s="6"/>
      <c r="O32" s="7">
        <f t="shared" si="5"/>
        <v>0</v>
      </c>
      <c r="P32" s="18">
        <v>77</v>
      </c>
      <c r="Q32" s="7">
        <f t="shared" si="6"/>
        <v>298.42931937172773</v>
      </c>
      <c r="R32" s="14"/>
      <c r="S32" s="7">
        <f t="shared" si="7"/>
        <v>0</v>
      </c>
      <c r="T32" s="8">
        <f t="shared" si="11"/>
        <v>388.48167539267013</v>
      </c>
      <c r="U32" s="6">
        <f t="shared" si="8"/>
        <v>22</v>
      </c>
      <c r="V32" s="6">
        <f t="shared" si="9"/>
        <v>2</v>
      </c>
      <c r="W32" s="13">
        <f t="shared" si="10"/>
        <v>0.2857142857142857</v>
      </c>
    </row>
    <row r="33" spans="1:23" x14ac:dyDescent="0.3">
      <c r="A33" s="6"/>
      <c r="B33" s="5">
        <f t="shared" si="0"/>
        <v>23</v>
      </c>
      <c r="C33" s="6" t="s">
        <v>75</v>
      </c>
      <c r="D33" s="6" t="s">
        <v>76</v>
      </c>
      <c r="E33" s="6" t="s">
        <v>65</v>
      </c>
      <c r="F33" s="6"/>
      <c r="G33" s="7">
        <f t="shared" si="1"/>
        <v>0</v>
      </c>
      <c r="H33" s="6">
        <v>14</v>
      </c>
      <c r="I33" s="7">
        <f t="shared" si="2"/>
        <v>180</v>
      </c>
      <c r="J33" s="6"/>
      <c r="K33" s="7">
        <f t="shared" si="3"/>
        <v>0</v>
      </c>
      <c r="L33" s="6">
        <v>14</v>
      </c>
      <c r="M33" s="7">
        <f t="shared" si="4"/>
        <v>172.72727272727272</v>
      </c>
      <c r="N33" s="6"/>
      <c r="O33" s="7">
        <f t="shared" si="5"/>
        <v>0</v>
      </c>
      <c r="P33" s="6"/>
      <c r="Q33" s="7">
        <f t="shared" si="6"/>
        <v>0</v>
      </c>
      <c r="R33" s="6"/>
      <c r="S33" s="7">
        <f t="shared" si="7"/>
        <v>0</v>
      </c>
      <c r="T33" s="8">
        <f t="shared" si="11"/>
        <v>352.72727272727275</v>
      </c>
      <c r="U33" s="6">
        <f t="shared" si="8"/>
        <v>23</v>
      </c>
      <c r="V33" s="6">
        <f t="shared" si="9"/>
        <v>1</v>
      </c>
      <c r="W33" s="13">
        <f t="shared" si="10"/>
        <v>0.14285714285714285</v>
      </c>
    </row>
    <row r="34" spans="1:23" x14ac:dyDescent="0.3">
      <c r="A34" s="6"/>
      <c r="B34" s="5">
        <f t="shared" si="0"/>
        <v>24</v>
      </c>
      <c r="C34" s="6" t="s">
        <v>414</v>
      </c>
      <c r="D34" s="6" t="s">
        <v>405</v>
      </c>
      <c r="E34" s="6" t="s">
        <v>397</v>
      </c>
      <c r="F34" s="6"/>
      <c r="G34" s="7">
        <f t="shared" si="1"/>
        <v>0</v>
      </c>
      <c r="H34" s="6">
        <v>15</v>
      </c>
      <c r="I34" s="7">
        <f t="shared" si="2"/>
        <v>171.42857142857142</v>
      </c>
      <c r="J34" s="6"/>
      <c r="K34" s="7">
        <f t="shared" si="3"/>
        <v>0</v>
      </c>
      <c r="L34" s="6">
        <v>23</v>
      </c>
      <c r="M34" s="7">
        <f t="shared" si="4"/>
        <v>90.909090909090907</v>
      </c>
      <c r="N34" s="6"/>
      <c r="O34" s="7">
        <f t="shared" si="5"/>
        <v>0</v>
      </c>
      <c r="P34" s="6"/>
      <c r="Q34" s="7">
        <f t="shared" si="6"/>
        <v>0</v>
      </c>
      <c r="R34" s="6"/>
      <c r="S34" s="7">
        <f t="shared" si="7"/>
        <v>0</v>
      </c>
      <c r="T34" s="8">
        <f t="shared" si="11"/>
        <v>262.33766233766232</v>
      </c>
      <c r="U34" s="6">
        <f t="shared" si="8"/>
        <v>24</v>
      </c>
      <c r="V34" s="6">
        <f t="shared" si="9"/>
        <v>1</v>
      </c>
      <c r="W34" s="13">
        <f t="shared" si="10"/>
        <v>0.14285714285714285</v>
      </c>
    </row>
    <row r="35" spans="1:23" x14ac:dyDescent="0.3">
      <c r="A35" s="6"/>
      <c r="B35" s="5">
        <f t="shared" si="0"/>
        <v>25</v>
      </c>
      <c r="C35" s="6" t="s">
        <v>451</v>
      </c>
      <c r="D35" s="6" t="s">
        <v>452</v>
      </c>
      <c r="E35" s="6" t="s">
        <v>378</v>
      </c>
      <c r="F35" s="6"/>
      <c r="G35" s="7">
        <f t="shared" si="1"/>
        <v>0</v>
      </c>
      <c r="H35" s="6">
        <v>23</v>
      </c>
      <c r="I35" s="7">
        <f t="shared" si="2"/>
        <v>102.85714285714286</v>
      </c>
      <c r="J35" s="6">
        <v>187</v>
      </c>
      <c r="K35" s="7">
        <f t="shared" si="3"/>
        <v>8.3769633507853403</v>
      </c>
      <c r="L35" s="6">
        <v>20</v>
      </c>
      <c r="M35" s="7">
        <f t="shared" si="4"/>
        <v>118.18181818181819</v>
      </c>
      <c r="N35" s="6"/>
      <c r="O35" s="7">
        <f t="shared" si="5"/>
        <v>0</v>
      </c>
      <c r="P35" s="6">
        <v>189</v>
      </c>
      <c r="Q35" s="7">
        <f t="shared" si="6"/>
        <v>5.2356020942408374</v>
      </c>
      <c r="R35" s="6"/>
      <c r="S35" s="7">
        <f t="shared" si="7"/>
        <v>0</v>
      </c>
      <c r="T35" s="8">
        <f t="shared" si="11"/>
        <v>234.65152648398725</v>
      </c>
      <c r="U35" s="6">
        <f t="shared" si="8"/>
        <v>25</v>
      </c>
      <c r="V35" s="6">
        <f t="shared" si="9"/>
        <v>3</v>
      </c>
      <c r="W35" s="13">
        <f t="shared" si="10"/>
        <v>0.42857142857142855</v>
      </c>
    </row>
    <row r="36" spans="1:23" x14ac:dyDescent="0.3">
      <c r="A36" s="6"/>
      <c r="B36" s="5">
        <f t="shared" si="0"/>
        <v>26</v>
      </c>
      <c r="C36" s="6" t="s">
        <v>157</v>
      </c>
      <c r="D36" s="6" t="s">
        <v>84</v>
      </c>
      <c r="E36" s="6" t="s">
        <v>72</v>
      </c>
      <c r="F36" s="6"/>
      <c r="G36" s="7">
        <f t="shared" si="1"/>
        <v>0</v>
      </c>
      <c r="H36" s="6">
        <v>25</v>
      </c>
      <c r="I36" s="7">
        <f t="shared" si="2"/>
        <v>85.714285714285708</v>
      </c>
      <c r="J36" s="6">
        <v>187</v>
      </c>
      <c r="K36" s="7">
        <f t="shared" si="3"/>
        <v>8.3769633507853403</v>
      </c>
      <c r="L36" s="6">
        <v>26</v>
      </c>
      <c r="M36" s="7">
        <f t="shared" si="4"/>
        <v>63.636363636363633</v>
      </c>
      <c r="N36" s="6"/>
      <c r="O36" s="7">
        <f t="shared" si="5"/>
        <v>0</v>
      </c>
      <c r="P36" s="6">
        <v>165</v>
      </c>
      <c r="Q36" s="7">
        <f t="shared" si="6"/>
        <v>68.062827225130889</v>
      </c>
      <c r="R36" s="6"/>
      <c r="S36" s="7">
        <f t="shared" si="7"/>
        <v>0</v>
      </c>
      <c r="T36" s="8">
        <f t="shared" si="11"/>
        <v>225.79043992656557</v>
      </c>
      <c r="U36" s="6">
        <f t="shared" si="8"/>
        <v>26</v>
      </c>
      <c r="V36" s="6">
        <f t="shared" si="9"/>
        <v>3</v>
      </c>
      <c r="W36" s="13">
        <f t="shared" si="10"/>
        <v>0.42857142857142855</v>
      </c>
    </row>
    <row r="37" spans="1:23" x14ac:dyDescent="0.3">
      <c r="A37" s="6"/>
      <c r="B37" s="5">
        <f t="shared" si="0"/>
        <v>27</v>
      </c>
      <c r="C37" s="6" t="s">
        <v>70</v>
      </c>
      <c r="D37" s="6" t="s">
        <v>71</v>
      </c>
      <c r="E37" s="6" t="s">
        <v>397</v>
      </c>
      <c r="F37" s="6"/>
      <c r="G37" s="7">
        <f t="shared" si="1"/>
        <v>0</v>
      </c>
      <c r="H37" s="6"/>
      <c r="I37" s="7">
        <f t="shared" si="2"/>
        <v>0</v>
      </c>
      <c r="J37" s="6"/>
      <c r="K37" s="7">
        <f t="shared" si="3"/>
        <v>0</v>
      </c>
      <c r="L37" s="6"/>
      <c r="M37" s="7">
        <f t="shared" si="4"/>
        <v>0</v>
      </c>
      <c r="N37" s="6"/>
      <c r="O37" s="7">
        <f t="shared" si="5"/>
        <v>0</v>
      </c>
      <c r="P37" s="6">
        <v>115</v>
      </c>
      <c r="Q37" s="7">
        <f t="shared" si="6"/>
        <v>198.95287958115182</v>
      </c>
      <c r="R37" s="6"/>
      <c r="S37" s="7">
        <f t="shared" si="7"/>
        <v>0</v>
      </c>
      <c r="T37" s="8">
        <f t="shared" si="11"/>
        <v>198.95287958115182</v>
      </c>
      <c r="U37" s="6">
        <f t="shared" si="8"/>
        <v>27</v>
      </c>
      <c r="V37" s="6">
        <f t="shared" si="9"/>
        <v>1</v>
      </c>
      <c r="W37" s="13">
        <f t="shared" si="10"/>
        <v>0.14285714285714285</v>
      </c>
    </row>
    <row r="38" spans="1:23" x14ac:dyDescent="0.3">
      <c r="A38" s="6"/>
      <c r="B38" s="5">
        <f t="shared" si="0"/>
        <v>28</v>
      </c>
      <c r="C38" s="6" t="s">
        <v>121</v>
      </c>
      <c r="D38" s="6" t="s">
        <v>122</v>
      </c>
      <c r="E38" s="6" t="s">
        <v>49</v>
      </c>
      <c r="F38" s="6"/>
      <c r="G38" s="7">
        <f t="shared" si="1"/>
        <v>0</v>
      </c>
      <c r="H38" s="6">
        <v>24</v>
      </c>
      <c r="I38" s="7">
        <f t="shared" si="2"/>
        <v>94.285714285714292</v>
      </c>
      <c r="J38" s="6"/>
      <c r="K38" s="7">
        <f t="shared" si="3"/>
        <v>0</v>
      </c>
      <c r="L38" s="6">
        <v>24</v>
      </c>
      <c r="M38" s="7">
        <f t="shared" si="4"/>
        <v>81.818181818181813</v>
      </c>
      <c r="N38" s="6"/>
      <c r="O38" s="7">
        <f t="shared" si="5"/>
        <v>0</v>
      </c>
      <c r="P38" s="6"/>
      <c r="Q38" s="7">
        <f t="shared" si="6"/>
        <v>0</v>
      </c>
      <c r="R38" s="6"/>
      <c r="S38" s="7">
        <f t="shared" si="7"/>
        <v>0</v>
      </c>
      <c r="T38" s="8">
        <f t="shared" si="11"/>
        <v>176.10389610389609</v>
      </c>
      <c r="U38" s="6">
        <f t="shared" si="8"/>
        <v>28</v>
      </c>
      <c r="V38" s="6">
        <f t="shared" si="9"/>
        <v>1</v>
      </c>
      <c r="W38" s="13">
        <f t="shared" si="10"/>
        <v>0.14285714285714285</v>
      </c>
    </row>
    <row r="39" spans="1:23" x14ac:dyDescent="0.3">
      <c r="A39" s="6"/>
      <c r="B39" s="5">
        <f t="shared" si="0"/>
        <v>29</v>
      </c>
      <c r="C39" s="6" t="s">
        <v>436</v>
      </c>
      <c r="D39" s="6" t="s">
        <v>406</v>
      </c>
      <c r="E39" s="6" t="s">
        <v>58</v>
      </c>
      <c r="F39" s="6">
        <v>23</v>
      </c>
      <c r="G39" s="7">
        <f t="shared" si="1"/>
        <v>64.705882352941174</v>
      </c>
      <c r="H39" s="6"/>
      <c r="I39" s="7">
        <f t="shared" si="2"/>
        <v>0</v>
      </c>
      <c r="J39" s="6"/>
      <c r="K39" s="7">
        <f t="shared" si="3"/>
        <v>0</v>
      </c>
      <c r="L39" s="6">
        <v>27</v>
      </c>
      <c r="M39" s="7">
        <f t="shared" si="4"/>
        <v>54.545454545454547</v>
      </c>
      <c r="N39" s="6"/>
      <c r="O39" s="7">
        <f t="shared" si="5"/>
        <v>0</v>
      </c>
      <c r="P39" s="6"/>
      <c r="Q39" s="7">
        <f t="shared" si="6"/>
        <v>0</v>
      </c>
      <c r="R39" s="6"/>
      <c r="S39" s="7">
        <f t="shared" si="7"/>
        <v>0</v>
      </c>
      <c r="T39" s="8">
        <f t="shared" si="11"/>
        <v>119.25133689839572</v>
      </c>
      <c r="U39" s="6">
        <f t="shared" si="8"/>
        <v>29</v>
      </c>
      <c r="V39" s="6">
        <f t="shared" si="9"/>
        <v>1</v>
      </c>
      <c r="W39" s="13">
        <f t="shared" si="10"/>
        <v>0.14285714285714285</v>
      </c>
    </row>
    <row r="40" spans="1:23" x14ac:dyDescent="0.3">
      <c r="A40" s="6"/>
      <c r="B40" s="5">
        <f t="shared" si="0"/>
        <v>30</v>
      </c>
      <c r="C40" s="6" t="s">
        <v>453</v>
      </c>
      <c r="D40" s="6" t="s">
        <v>454</v>
      </c>
      <c r="E40" s="6" t="s">
        <v>72</v>
      </c>
      <c r="F40" s="6"/>
      <c r="G40" s="7">
        <f t="shared" si="1"/>
        <v>0</v>
      </c>
      <c r="H40" s="6">
        <v>27</v>
      </c>
      <c r="I40" s="7">
        <f t="shared" si="2"/>
        <v>68.571428571428569</v>
      </c>
      <c r="J40" s="6"/>
      <c r="K40" s="7">
        <f t="shared" si="3"/>
        <v>0</v>
      </c>
      <c r="L40" s="6">
        <v>29</v>
      </c>
      <c r="M40" s="7">
        <f t="shared" si="4"/>
        <v>36.363636363636367</v>
      </c>
      <c r="N40" s="6">
        <v>22</v>
      </c>
      <c r="O40" s="7">
        <f>14/2</f>
        <v>7</v>
      </c>
      <c r="P40" s="6"/>
      <c r="Q40" s="7">
        <f t="shared" si="6"/>
        <v>0</v>
      </c>
      <c r="R40" s="6"/>
      <c r="S40" s="7">
        <f t="shared" si="7"/>
        <v>0</v>
      </c>
      <c r="T40" s="8">
        <f t="shared" si="11"/>
        <v>111.93506493506493</v>
      </c>
      <c r="U40" s="6">
        <f t="shared" si="8"/>
        <v>30</v>
      </c>
      <c r="V40" s="6">
        <f t="shared" si="9"/>
        <v>2</v>
      </c>
      <c r="W40" s="13">
        <f t="shared" si="10"/>
        <v>0.2857142857142857</v>
      </c>
    </row>
    <row r="41" spans="1:23" x14ac:dyDescent="0.3">
      <c r="A41" s="6"/>
      <c r="B41" s="5">
        <f t="shared" si="0"/>
        <v>31</v>
      </c>
      <c r="C41" s="6" t="s">
        <v>338</v>
      </c>
      <c r="D41" s="6" t="s">
        <v>164</v>
      </c>
      <c r="E41" s="6" t="s">
        <v>65</v>
      </c>
      <c r="F41" s="6"/>
      <c r="G41" s="7">
        <f t="shared" si="1"/>
        <v>0</v>
      </c>
      <c r="H41" s="6"/>
      <c r="I41" s="7">
        <f t="shared" si="2"/>
        <v>0</v>
      </c>
      <c r="J41" s="6"/>
      <c r="K41" s="7">
        <f t="shared" si="3"/>
        <v>0</v>
      </c>
      <c r="L41" s="6">
        <v>21</v>
      </c>
      <c r="M41" s="7">
        <f t="shared" si="4"/>
        <v>109.09090909090909</v>
      </c>
      <c r="N41" s="6"/>
      <c r="O41" s="7">
        <f t="shared" ref="O41:O51" si="12">IF(N41=0,,($N$9-N41)*$N$7*100/$N$9)</f>
        <v>0</v>
      </c>
      <c r="P41" s="6"/>
      <c r="Q41" s="7">
        <f t="shared" si="6"/>
        <v>0</v>
      </c>
      <c r="R41" s="6"/>
      <c r="S41" s="7">
        <f t="shared" si="7"/>
        <v>0</v>
      </c>
      <c r="T41" s="8">
        <f t="shared" si="11"/>
        <v>109.09090909090909</v>
      </c>
      <c r="U41" s="6">
        <f t="shared" si="8"/>
        <v>31</v>
      </c>
      <c r="V41" s="6">
        <f t="shared" si="9"/>
        <v>0</v>
      </c>
      <c r="W41" s="13">
        <f t="shared" si="10"/>
        <v>0</v>
      </c>
    </row>
    <row r="42" spans="1:23" x14ac:dyDescent="0.3">
      <c r="A42" s="6"/>
      <c r="B42" s="5">
        <f t="shared" si="0"/>
        <v>32</v>
      </c>
      <c r="C42" s="6" t="s">
        <v>185</v>
      </c>
      <c r="D42" s="6" t="s">
        <v>179</v>
      </c>
      <c r="E42" s="6" t="s">
        <v>398</v>
      </c>
      <c r="F42" s="6"/>
      <c r="G42" s="7">
        <f t="shared" si="1"/>
        <v>0</v>
      </c>
      <c r="H42" s="6">
        <v>26</v>
      </c>
      <c r="I42" s="7">
        <f t="shared" si="2"/>
        <v>77.142857142857139</v>
      </c>
      <c r="J42" s="6"/>
      <c r="K42" s="7">
        <f t="shared" si="3"/>
        <v>0</v>
      </c>
      <c r="L42" s="6">
        <v>31</v>
      </c>
      <c r="M42" s="7">
        <f t="shared" si="4"/>
        <v>18.181818181818183</v>
      </c>
      <c r="N42" s="6"/>
      <c r="O42" s="7">
        <f t="shared" si="12"/>
        <v>0</v>
      </c>
      <c r="P42" s="6"/>
      <c r="Q42" s="7">
        <f t="shared" si="6"/>
        <v>0</v>
      </c>
      <c r="R42" s="6"/>
      <c r="S42" s="7">
        <f t="shared" si="7"/>
        <v>0</v>
      </c>
      <c r="T42" s="8">
        <f t="shared" si="11"/>
        <v>95.324675324675326</v>
      </c>
      <c r="U42" s="6">
        <f t="shared" si="8"/>
        <v>32</v>
      </c>
      <c r="V42" s="6">
        <f t="shared" si="9"/>
        <v>1</v>
      </c>
      <c r="W42" s="13">
        <f t="shared" si="10"/>
        <v>0.14285714285714285</v>
      </c>
    </row>
    <row r="43" spans="1:23" x14ac:dyDescent="0.3">
      <c r="A43" s="6"/>
      <c r="B43" s="5">
        <f t="shared" si="0"/>
        <v>33</v>
      </c>
      <c r="C43" s="6" t="s">
        <v>410</v>
      </c>
      <c r="D43" s="6" t="s">
        <v>404</v>
      </c>
      <c r="E43" s="6" t="s">
        <v>397</v>
      </c>
      <c r="F43" s="6"/>
      <c r="G43" s="7">
        <f t="shared" si="1"/>
        <v>0</v>
      </c>
      <c r="H43" s="6"/>
      <c r="I43" s="7">
        <f t="shared" si="2"/>
        <v>0</v>
      </c>
      <c r="J43" s="6"/>
      <c r="K43" s="7">
        <f t="shared" si="3"/>
        <v>0</v>
      </c>
      <c r="L43" s="6">
        <v>25</v>
      </c>
      <c r="M43" s="7">
        <f t="shared" si="4"/>
        <v>72.727272727272734</v>
      </c>
      <c r="N43" s="6"/>
      <c r="O43" s="7">
        <f t="shared" si="12"/>
        <v>0</v>
      </c>
      <c r="P43" s="14"/>
      <c r="Q43" s="7">
        <f t="shared" si="6"/>
        <v>0</v>
      </c>
      <c r="R43" s="14"/>
      <c r="S43" s="7">
        <f t="shared" si="7"/>
        <v>0</v>
      </c>
      <c r="T43" s="8">
        <f t="shared" si="11"/>
        <v>72.727272727272734</v>
      </c>
      <c r="U43" s="6">
        <f t="shared" si="8"/>
        <v>33</v>
      </c>
      <c r="V43" s="6">
        <f t="shared" si="9"/>
        <v>0</v>
      </c>
      <c r="W43" s="13">
        <f t="shared" si="10"/>
        <v>0</v>
      </c>
    </row>
    <row r="44" spans="1:23" x14ac:dyDescent="0.3">
      <c r="A44" s="6"/>
      <c r="B44" s="5">
        <f t="shared" si="0"/>
        <v>34</v>
      </c>
      <c r="C44" s="6" t="s">
        <v>341</v>
      </c>
      <c r="D44" s="6" t="s">
        <v>340</v>
      </c>
      <c r="E44" s="6" t="s">
        <v>65</v>
      </c>
      <c r="F44" s="6"/>
      <c r="G44" s="7">
        <f t="shared" si="1"/>
        <v>0</v>
      </c>
      <c r="H44" s="6">
        <v>29</v>
      </c>
      <c r="I44" s="7">
        <f t="shared" si="2"/>
        <v>51.428571428571431</v>
      </c>
      <c r="J44" s="6"/>
      <c r="K44" s="7">
        <f t="shared" si="3"/>
        <v>0</v>
      </c>
      <c r="L44" s="6"/>
      <c r="M44" s="7">
        <f t="shared" si="4"/>
        <v>0</v>
      </c>
      <c r="N44" s="6"/>
      <c r="O44" s="7">
        <f t="shared" si="12"/>
        <v>0</v>
      </c>
      <c r="P44" s="6"/>
      <c r="Q44" s="7">
        <f t="shared" si="6"/>
        <v>0</v>
      </c>
      <c r="R44" s="6"/>
      <c r="S44" s="7">
        <f t="shared" si="7"/>
        <v>0</v>
      </c>
      <c r="T44" s="8">
        <f t="shared" si="11"/>
        <v>51.428571428571431</v>
      </c>
      <c r="U44" s="6">
        <f t="shared" si="8"/>
        <v>34</v>
      </c>
      <c r="V44" s="6">
        <f t="shared" si="9"/>
        <v>1</v>
      </c>
      <c r="W44" s="13">
        <f t="shared" si="10"/>
        <v>0.14285714285714285</v>
      </c>
    </row>
    <row r="45" spans="1:23" x14ac:dyDescent="0.3">
      <c r="A45" s="6"/>
      <c r="B45" s="5">
        <f t="shared" si="0"/>
        <v>35</v>
      </c>
      <c r="C45" s="6" t="s">
        <v>125</v>
      </c>
      <c r="D45" s="6" t="s">
        <v>126</v>
      </c>
      <c r="E45" s="6" t="s">
        <v>72</v>
      </c>
      <c r="F45" s="6"/>
      <c r="G45" s="7">
        <f t="shared" si="1"/>
        <v>0</v>
      </c>
      <c r="H45" s="6"/>
      <c r="I45" s="7">
        <f t="shared" si="2"/>
        <v>0</v>
      </c>
      <c r="J45" s="6"/>
      <c r="K45" s="7">
        <f t="shared" si="3"/>
        <v>0</v>
      </c>
      <c r="L45" s="6">
        <v>28</v>
      </c>
      <c r="M45" s="7">
        <f t="shared" si="4"/>
        <v>45.454545454545453</v>
      </c>
      <c r="N45" s="6"/>
      <c r="O45" s="7">
        <f t="shared" si="12"/>
        <v>0</v>
      </c>
      <c r="P45" s="6"/>
      <c r="Q45" s="7">
        <f t="shared" si="6"/>
        <v>0</v>
      </c>
      <c r="R45" s="6"/>
      <c r="S45" s="7">
        <f t="shared" si="7"/>
        <v>0</v>
      </c>
      <c r="T45" s="8">
        <f t="shared" si="11"/>
        <v>45.454545454545453</v>
      </c>
      <c r="U45" s="6">
        <f t="shared" si="8"/>
        <v>35</v>
      </c>
      <c r="V45" s="6">
        <f t="shared" si="9"/>
        <v>0</v>
      </c>
      <c r="W45" s="13">
        <f t="shared" si="10"/>
        <v>0</v>
      </c>
    </row>
    <row r="46" spans="1:23" x14ac:dyDescent="0.3">
      <c r="A46" s="6"/>
      <c r="B46" s="5">
        <f t="shared" si="0"/>
        <v>36</v>
      </c>
      <c r="C46" s="6" t="s">
        <v>455</v>
      </c>
      <c r="D46" s="6" t="s">
        <v>194</v>
      </c>
      <c r="E46" s="6" t="s">
        <v>378</v>
      </c>
      <c r="F46" s="6"/>
      <c r="G46" s="7">
        <f t="shared" si="1"/>
        <v>0</v>
      </c>
      <c r="H46" s="6">
        <v>30</v>
      </c>
      <c r="I46" s="7">
        <f t="shared" si="2"/>
        <v>42.857142857142854</v>
      </c>
      <c r="J46" s="6"/>
      <c r="K46" s="7">
        <f t="shared" si="3"/>
        <v>0</v>
      </c>
      <c r="L46" s="6"/>
      <c r="M46" s="7">
        <f t="shared" si="4"/>
        <v>0</v>
      </c>
      <c r="N46" s="6"/>
      <c r="O46" s="7">
        <f t="shared" si="12"/>
        <v>0</v>
      </c>
      <c r="P46" s="6"/>
      <c r="Q46" s="7">
        <f t="shared" si="6"/>
        <v>0</v>
      </c>
      <c r="R46" s="6"/>
      <c r="S46" s="7">
        <f t="shared" si="7"/>
        <v>0</v>
      </c>
      <c r="T46" s="8">
        <f t="shared" si="11"/>
        <v>42.857142857142854</v>
      </c>
      <c r="U46" s="6">
        <f t="shared" si="8"/>
        <v>36</v>
      </c>
      <c r="V46" s="6">
        <f t="shared" si="9"/>
        <v>1</v>
      </c>
      <c r="W46" s="13">
        <f t="shared" si="10"/>
        <v>0.14285714285714285</v>
      </c>
    </row>
    <row r="47" spans="1:23" x14ac:dyDescent="0.3">
      <c r="A47" s="6"/>
      <c r="B47" s="5">
        <f t="shared" si="0"/>
        <v>37</v>
      </c>
      <c r="C47" s="6" t="s">
        <v>456</v>
      </c>
      <c r="D47" s="6" t="s">
        <v>339</v>
      </c>
      <c r="E47" s="6" t="s">
        <v>65</v>
      </c>
      <c r="F47" s="6"/>
      <c r="G47" s="7">
        <f t="shared" si="1"/>
        <v>0</v>
      </c>
      <c r="H47" s="6">
        <v>31</v>
      </c>
      <c r="I47" s="7">
        <f t="shared" si="2"/>
        <v>34.285714285714285</v>
      </c>
      <c r="J47" s="6"/>
      <c r="K47" s="7">
        <f t="shared" si="3"/>
        <v>0</v>
      </c>
      <c r="L47" s="6"/>
      <c r="M47" s="7">
        <f t="shared" si="4"/>
        <v>0</v>
      </c>
      <c r="N47" s="6"/>
      <c r="O47" s="7">
        <f t="shared" si="12"/>
        <v>0</v>
      </c>
      <c r="P47" s="6"/>
      <c r="Q47" s="7">
        <f t="shared" si="6"/>
        <v>0</v>
      </c>
      <c r="R47" s="6"/>
      <c r="S47" s="7">
        <f t="shared" si="7"/>
        <v>0</v>
      </c>
      <c r="T47" s="8">
        <f t="shared" si="11"/>
        <v>34.285714285714285</v>
      </c>
      <c r="U47" s="6">
        <f t="shared" si="8"/>
        <v>37</v>
      </c>
      <c r="V47" s="6">
        <f t="shared" si="9"/>
        <v>1</v>
      </c>
      <c r="W47" s="13">
        <f t="shared" si="10"/>
        <v>0.14285714285714285</v>
      </c>
    </row>
    <row r="48" spans="1:23" x14ac:dyDescent="0.3">
      <c r="A48" s="6"/>
      <c r="B48" s="5">
        <f t="shared" si="0"/>
        <v>38</v>
      </c>
      <c r="C48" s="6" t="s">
        <v>458</v>
      </c>
      <c r="D48" s="6" t="s">
        <v>459</v>
      </c>
      <c r="E48" s="6" t="s">
        <v>65</v>
      </c>
      <c r="F48" s="6"/>
      <c r="G48" s="7">
        <f>5/2</f>
        <v>2.5</v>
      </c>
      <c r="H48" s="6">
        <v>34</v>
      </c>
      <c r="I48" s="7">
        <f t="shared" si="2"/>
        <v>8.5714285714285712</v>
      </c>
      <c r="J48" s="6"/>
      <c r="K48" s="7">
        <f t="shared" si="3"/>
        <v>0</v>
      </c>
      <c r="L48" s="6">
        <v>32</v>
      </c>
      <c r="M48" s="7">
        <f t="shared" si="4"/>
        <v>9.0909090909090917</v>
      </c>
      <c r="N48" s="6"/>
      <c r="O48" s="7">
        <f t="shared" si="12"/>
        <v>0</v>
      </c>
      <c r="P48" s="6">
        <v>186</v>
      </c>
      <c r="Q48" s="7">
        <f t="shared" si="6"/>
        <v>13.089005235602095</v>
      </c>
      <c r="R48" s="6"/>
      <c r="S48" s="7">
        <f t="shared" si="7"/>
        <v>0</v>
      </c>
      <c r="T48" s="8">
        <f t="shared" si="11"/>
        <v>33.251342897939757</v>
      </c>
      <c r="U48" s="6">
        <f t="shared" si="8"/>
        <v>38</v>
      </c>
      <c r="V48" s="6">
        <f t="shared" si="9"/>
        <v>2</v>
      </c>
      <c r="W48" s="13">
        <f t="shared" si="10"/>
        <v>0.2857142857142857</v>
      </c>
    </row>
    <row r="49" spans="1:23" x14ac:dyDescent="0.3">
      <c r="A49" s="6"/>
      <c r="B49" s="5">
        <f t="shared" si="0"/>
        <v>39</v>
      </c>
      <c r="C49" s="6" t="s">
        <v>535</v>
      </c>
      <c r="D49" s="6" t="s">
        <v>86</v>
      </c>
      <c r="E49" s="6" t="s">
        <v>401</v>
      </c>
      <c r="F49" s="6"/>
      <c r="G49" s="7">
        <f t="shared" ref="G49:G54" si="13">IF(F49=0,,($F$9-F49)*$F$7*100/$F$9)</f>
        <v>0</v>
      </c>
      <c r="H49" s="6"/>
      <c r="I49" s="7">
        <f t="shared" si="2"/>
        <v>0</v>
      </c>
      <c r="J49" s="6"/>
      <c r="K49" s="7">
        <f t="shared" si="3"/>
        <v>0</v>
      </c>
      <c r="L49" s="6">
        <v>30</v>
      </c>
      <c r="M49" s="7">
        <f t="shared" si="4"/>
        <v>27.272727272727273</v>
      </c>
      <c r="N49" s="6"/>
      <c r="O49" s="7">
        <f t="shared" si="12"/>
        <v>0</v>
      </c>
      <c r="P49" s="6"/>
      <c r="Q49" s="7">
        <f t="shared" si="6"/>
        <v>0</v>
      </c>
      <c r="R49" s="6"/>
      <c r="S49" s="7">
        <f t="shared" si="7"/>
        <v>0</v>
      </c>
      <c r="T49" s="8">
        <f t="shared" si="11"/>
        <v>27.272727272727273</v>
      </c>
      <c r="U49" s="6">
        <f t="shared" si="8"/>
        <v>39</v>
      </c>
      <c r="V49" s="6">
        <f t="shared" si="9"/>
        <v>0</v>
      </c>
      <c r="W49" s="13">
        <f t="shared" si="10"/>
        <v>0</v>
      </c>
    </row>
    <row r="50" spans="1:23" x14ac:dyDescent="0.3">
      <c r="A50" s="6"/>
      <c r="B50" s="5">
        <f t="shared" si="0"/>
        <v>40</v>
      </c>
      <c r="C50" s="6" t="s">
        <v>115</v>
      </c>
      <c r="D50" s="6" t="s">
        <v>116</v>
      </c>
      <c r="E50" s="6" t="s">
        <v>72</v>
      </c>
      <c r="F50" s="6"/>
      <c r="G50" s="7">
        <f t="shared" si="13"/>
        <v>0</v>
      </c>
      <c r="H50" s="6">
        <v>32</v>
      </c>
      <c r="I50" s="7">
        <f t="shared" si="2"/>
        <v>25.714285714285715</v>
      </c>
      <c r="J50" s="6"/>
      <c r="K50" s="7">
        <f t="shared" si="3"/>
        <v>0</v>
      </c>
      <c r="L50" s="6"/>
      <c r="M50" s="7">
        <f t="shared" si="4"/>
        <v>0</v>
      </c>
      <c r="N50" s="6"/>
      <c r="O50" s="7">
        <f t="shared" si="12"/>
        <v>0</v>
      </c>
      <c r="P50" s="6"/>
      <c r="Q50" s="7">
        <f t="shared" si="6"/>
        <v>0</v>
      </c>
      <c r="R50" s="6"/>
      <c r="S50" s="7">
        <f t="shared" si="7"/>
        <v>0</v>
      </c>
      <c r="T50" s="8">
        <f t="shared" si="11"/>
        <v>25.714285714285715</v>
      </c>
      <c r="U50" s="6">
        <f t="shared" si="8"/>
        <v>40</v>
      </c>
      <c r="V50" s="6">
        <f t="shared" si="9"/>
        <v>1</v>
      </c>
      <c r="W50" s="13">
        <f t="shared" si="10"/>
        <v>0.14285714285714285</v>
      </c>
    </row>
    <row r="51" spans="1:23" x14ac:dyDescent="0.3">
      <c r="A51" s="6"/>
      <c r="B51" s="5">
        <f t="shared" si="0"/>
        <v>41</v>
      </c>
      <c r="C51" s="6" t="s">
        <v>457</v>
      </c>
      <c r="D51" s="6" t="s">
        <v>429</v>
      </c>
      <c r="E51" s="6" t="s">
        <v>378</v>
      </c>
      <c r="F51" s="6"/>
      <c r="G51" s="7">
        <f t="shared" si="13"/>
        <v>0</v>
      </c>
      <c r="H51" s="6">
        <v>33</v>
      </c>
      <c r="I51" s="7">
        <f t="shared" si="2"/>
        <v>17.142857142857142</v>
      </c>
      <c r="J51" s="6"/>
      <c r="K51" s="7">
        <f t="shared" si="3"/>
        <v>0</v>
      </c>
      <c r="L51" s="6"/>
      <c r="M51" s="7">
        <f t="shared" si="4"/>
        <v>0</v>
      </c>
      <c r="N51" s="6"/>
      <c r="O51" s="7">
        <f t="shared" si="12"/>
        <v>0</v>
      </c>
      <c r="P51" s="6"/>
      <c r="Q51" s="7">
        <f t="shared" si="6"/>
        <v>0</v>
      </c>
      <c r="R51" s="6"/>
      <c r="S51" s="7">
        <f t="shared" si="7"/>
        <v>0</v>
      </c>
      <c r="T51" s="8">
        <f t="shared" si="11"/>
        <v>17.142857142857142</v>
      </c>
      <c r="U51" s="6">
        <f t="shared" si="8"/>
        <v>41</v>
      </c>
      <c r="V51" s="6">
        <f t="shared" si="9"/>
        <v>1</v>
      </c>
      <c r="W51" s="13">
        <f t="shared" si="10"/>
        <v>0.14285714285714285</v>
      </c>
    </row>
    <row r="52" spans="1:23" x14ac:dyDescent="0.3">
      <c r="A52" s="6"/>
      <c r="B52" s="5">
        <f t="shared" si="0"/>
        <v>42</v>
      </c>
      <c r="C52" s="6" t="s">
        <v>460</v>
      </c>
      <c r="D52" s="6" t="s">
        <v>384</v>
      </c>
      <c r="E52" s="6" t="s">
        <v>291</v>
      </c>
      <c r="F52" s="6"/>
      <c r="G52" s="7">
        <f t="shared" si="13"/>
        <v>0</v>
      </c>
      <c r="H52" s="6">
        <v>35</v>
      </c>
      <c r="I52" s="7">
        <f>9/2</f>
        <v>4.5</v>
      </c>
      <c r="J52" s="6"/>
      <c r="K52" s="7">
        <f t="shared" si="3"/>
        <v>0</v>
      </c>
      <c r="L52" s="6">
        <v>33</v>
      </c>
      <c r="M52" s="7">
        <f t="shared" si="4"/>
        <v>0</v>
      </c>
      <c r="N52" s="6"/>
      <c r="O52" s="7">
        <f>9/2</f>
        <v>4.5</v>
      </c>
      <c r="P52" s="6"/>
      <c r="Q52" s="7">
        <f t="shared" si="6"/>
        <v>0</v>
      </c>
      <c r="R52" s="6"/>
      <c r="S52" s="7">
        <f t="shared" si="7"/>
        <v>0</v>
      </c>
      <c r="T52" s="8">
        <f t="shared" si="11"/>
        <v>9</v>
      </c>
      <c r="U52" s="6">
        <f t="shared" si="8"/>
        <v>42</v>
      </c>
      <c r="V52" s="6">
        <f t="shared" si="9"/>
        <v>1</v>
      </c>
      <c r="W52" s="13">
        <f t="shared" si="10"/>
        <v>0.14285714285714285</v>
      </c>
    </row>
    <row r="53" spans="1:23" x14ac:dyDescent="0.3">
      <c r="A53" s="6"/>
      <c r="B53" s="5">
        <f t="shared" si="0"/>
        <v>43</v>
      </c>
      <c r="C53" s="6" t="s">
        <v>461</v>
      </c>
      <c r="D53" s="6" t="s">
        <v>462</v>
      </c>
      <c r="E53" s="6" t="s">
        <v>378</v>
      </c>
      <c r="F53" s="6"/>
      <c r="G53" s="7">
        <f t="shared" si="13"/>
        <v>0</v>
      </c>
      <c r="H53" s="6">
        <v>35</v>
      </c>
      <c r="I53" s="7">
        <f>9/2</f>
        <v>4.5</v>
      </c>
      <c r="J53" s="6"/>
      <c r="K53" s="7">
        <f t="shared" si="3"/>
        <v>0</v>
      </c>
      <c r="L53" s="6"/>
      <c r="M53" s="7">
        <f t="shared" si="4"/>
        <v>0</v>
      </c>
      <c r="N53" s="6"/>
      <c r="O53" s="7">
        <f>IF(N53=0,,($N$9-N53)*$N$7*100/$N$9)</f>
        <v>0</v>
      </c>
      <c r="P53" s="6"/>
      <c r="Q53" s="7">
        <f t="shared" si="6"/>
        <v>0</v>
      </c>
      <c r="R53" s="6"/>
      <c r="S53" s="7">
        <f t="shared" si="7"/>
        <v>0</v>
      </c>
      <c r="T53" s="8">
        <f t="shared" si="11"/>
        <v>4.5</v>
      </c>
      <c r="U53" s="6">
        <f t="shared" si="8"/>
        <v>43</v>
      </c>
      <c r="V53" s="6">
        <f t="shared" si="9"/>
        <v>1</v>
      </c>
      <c r="W53" s="13">
        <f t="shared" si="10"/>
        <v>0.14285714285714285</v>
      </c>
    </row>
    <row r="54" spans="1:23" x14ac:dyDescent="0.3">
      <c r="A54" s="6"/>
      <c r="B54" s="5">
        <f t="shared" si="0"/>
        <v>44</v>
      </c>
      <c r="C54" s="6" t="s">
        <v>417</v>
      </c>
      <c r="D54" s="6" t="s">
        <v>164</v>
      </c>
      <c r="E54" s="6" t="s">
        <v>402</v>
      </c>
      <c r="F54" s="6"/>
      <c r="G54" s="7">
        <f t="shared" si="13"/>
        <v>0</v>
      </c>
      <c r="H54" s="6"/>
      <c r="I54" s="7">
        <f>IF(H54=0,,($H$9-H54)*$H$7*100/$H$9)</f>
        <v>0</v>
      </c>
      <c r="J54" s="6"/>
      <c r="K54" s="7">
        <f t="shared" si="3"/>
        <v>0</v>
      </c>
      <c r="L54" s="6"/>
      <c r="M54" s="7">
        <f t="shared" si="4"/>
        <v>0</v>
      </c>
      <c r="N54" s="6"/>
      <c r="O54" s="7">
        <f>IF(N54=0,,($N$9-N54)*$N$7*100/$N$9)</f>
        <v>0</v>
      </c>
      <c r="P54" s="6"/>
      <c r="Q54" s="7">
        <f t="shared" si="6"/>
        <v>0</v>
      </c>
      <c r="R54" s="6"/>
      <c r="S54" s="7">
        <f t="shared" si="7"/>
        <v>0</v>
      </c>
      <c r="T54" s="8">
        <f t="shared" si="11"/>
        <v>0</v>
      </c>
      <c r="U54" s="6">
        <f t="shared" si="8"/>
        <v>44</v>
      </c>
      <c r="V54" s="6">
        <f t="shared" si="9"/>
        <v>0</v>
      </c>
      <c r="W54" s="13">
        <f t="shared" si="10"/>
        <v>0</v>
      </c>
    </row>
    <row r="55" spans="1:23" x14ac:dyDescent="0.3">
      <c r="B55" s="32" t="s">
        <v>18</v>
      </c>
      <c r="C55" s="32"/>
      <c r="D55" s="33"/>
      <c r="F55">
        <f>COUNTA(F11:F54)</f>
        <v>12</v>
      </c>
      <c r="H55">
        <f>COUNTA(H11:H54)</f>
        <v>36</v>
      </c>
      <c r="J55">
        <f>COUNTA(J11:J54)</f>
        <v>21</v>
      </c>
      <c r="L55">
        <f>COUNTA(L11:L54)</f>
        <v>33</v>
      </c>
      <c r="N55">
        <f>COUNTA(N11:N54)</f>
        <v>5</v>
      </c>
      <c r="P55">
        <f>COUNTA(P11:P54)</f>
        <v>24</v>
      </c>
      <c r="R55">
        <f>COUNTA(R11:R54)</f>
        <v>0</v>
      </c>
    </row>
    <row r="56" spans="1:23" x14ac:dyDescent="0.3">
      <c r="B56" s="34" t="s">
        <v>35</v>
      </c>
      <c r="C56" s="32"/>
      <c r="D56" s="33"/>
      <c r="F56" s="12">
        <f>F55/$H$2</f>
        <v>0.27272727272727271</v>
      </c>
      <c r="H56" s="12">
        <f>H55/$H$2</f>
        <v>0.81818181818181823</v>
      </c>
      <c r="J56" s="12">
        <f>J55/$H$2</f>
        <v>0.47727272727272729</v>
      </c>
      <c r="L56" s="12">
        <f>L55/$H$2</f>
        <v>0.75</v>
      </c>
      <c r="N56" s="12">
        <f>N55/$H$2</f>
        <v>0.11363636363636363</v>
      </c>
      <c r="P56" s="12">
        <f>P55/$H$2</f>
        <v>0.54545454545454541</v>
      </c>
      <c r="R56" s="12">
        <f>R55/$H$2</f>
        <v>0</v>
      </c>
    </row>
    <row r="58" spans="1:23" x14ac:dyDescent="0.3">
      <c r="M58" t="s">
        <v>22</v>
      </c>
    </row>
    <row r="59" spans="1:23" x14ac:dyDescent="0.3">
      <c r="M59" t="s">
        <v>22</v>
      </c>
    </row>
    <row r="60" spans="1:23" x14ac:dyDescent="0.3">
      <c r="M60" t="s">
        <v>22</v>
      </c>
    </row>
    <row r="61" spans="1:23" x14ac:dyDescent="0.3">
      <c r="M61" t="s">
        <v>22</v>
      </c>
    </row>
    <row r="62" spans="1:23" x14ac:dyDescent="0.3">
      <c r="M62" t="s">
        <v>22</v>
      </c>
    </row>
    <row r="63" spans="1:23" x14ac:dyDescent="0.3">
      <c r="M63" t="s">
        <v>22</v>
      </c>
    </row>
    <row r="64" spans="1:23" x14ac:dyDescent="0.3">
      <c r="M64" t="s">
        <v>22</v>
      </c>
    </row>
    <row r="65" spans="13:13" x14ac:dyDescent="0.3">
      <c r="M65" t="s">
        <v>22</v>
      </c>
    </row>
    <row r="66" spans="13:13" x14ac:dyDescent="0.3">
      <c r="M66" t="s">
        <v>22</v>
      </c>
    </row>
    <row r="67" spans="13:13" x14ac:dyDescent="0.3">
      <c r="M67" t="s">
        <v>22</v>
      </c>
    </row>
    <row r="68" spans="13:13" x14ac:dyDescent="0.3">
      <c r="M68" t="s">
        <v>22</v>
      </c>
    </row>
    <row r="69" spans="13:13" x14ac:dyDescent="0.3">
      <c r="M69" t="s">
        <v>22</v>
      </c>
    </row>
  </sheetData>
  <sortState xmlns:xlrd2="http://schemas.microsoft.com/office/spreadsheetml/2017/richdata2" ref="B11:W54">
    <sortCondition descending="1" ref="T11:T54"/>
  </sortState>
  <mergeCells count="34">
    <mergeCell ref="B1:O1"/>
    <mergeCell ref="F2:G2"/>
    <mergeCell ref="F3:G3"/>
    <mergeCell ref="C4:D4"/>
    <mergeCell ref="F6:G6"/>
    <mergeCell ref="H6:I6"/>
    <mergeCell ref="J6:K6"/>
    <mergeCell ref="N6:O6"/>
    <mergeCell ref="R6:S6"/>
    <mergeCell ref="F7:G7"/>
    <mergeCell ref="H7:I7"/>
    <mergeCell ref="J7:K7"/>
    <mergeCell ref="N7:O7"/>
    <mergeCell ref="P7:Q7"/>
    <mergeCell ref="R7:S7"/>
    <mergeCell ref="L6:M6"/>
    <mergeCell ref="L7:M7"/>
    <mergeCell ref="P6:Q6"/>
    <mergeCell ref="B55:D55"/>
    <mergeCell ref="B56:D56"/>
    <mergeCell ref="R8:S8"/>
    <mergeCell ref="F9:G9"/>
    <mergeCell ref="H9:I9"/>
    <mergeCell ref="J9:K9"/>
    <mergeCell ref="N9:O9"/>
    <mergeCell ref="P9:Q9"/>
    <mergeCell ref="R9:S9"/>
    <mergeCell ref="F8:G8"/>
    <mergeCell ref="H8:I8"/>
    <mergeCell ref="J8:K8"/>
    <mergeCell ref="N8:O8"/>
    <mergeCell ref="P8:Q8"/>
    <mergeCell ref="L8:M8"/>
    <mergeCell ref="L9:M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69"/>
  <sheetViews>
    <sheetView workbookViewId="0">
      <pane xSplit="4" ySplit="10" topLeftCell="G11" activePane="bottomRight" state="frozenSplit"/>
      <selection pane="topRight" activeCell="D26" sqref="D26"/>
      <selection pane="bottomLeft" activeCell="D26" sqref="D26"/>
      <selection pane="bottomRight" activeCell="S19" sqref="S19"/>
    </sheetView>
  </sheetViews>
  <sheetFormatPr baseColWidth="10" defaultColWidth="11.44140625" defaultRowHeight="14.4" x14ac:dyDescent="0.3"/>
  <cols>
    <col min="1" max="1" width="18.33203125" bestFit="1" customWidth="1"/>
    <col min="2" max="2" width="19.33203125" customWidth="1"/>
    <col min="4" max="4" width="18.109375" bestFit="1" customWidth="1"/>
    <col min="5" max="5" width="17.44140625" customWidth="1"/>
    <col min="6" max="6" width="6.88671875" customWidth="1"/>
    <col min="7" max="7" width="13.44140625" customWidth="1"/>
    <col min="8" max="8" width="11.44140625" customWidth="1"/>
    <col min="9" max="9" width="10.6640625" customWidth="1"/>
    <col min="10" max="10" width="11.44140625" customWidth="1"/>
    <col min="11" max="11" width="8.6640625" customWidth="1"/>
    <col min="12" max="14" width="11.44140625" customWidth="1"/>
    <col min="15" max="15" width="10.109375" customWidth="1"/>
    <col min="16" max="16" width="11.44140625" customWidth="1"/>
    <col min="17" max="17" width="18.44140625" customWidth="1"/>
    <col min="18" max="18" width="11.44140625" customWidth="1"/>
    <col min="19" max="19" width="10.44140625" customWidth="1"/>
    <col min="20" max="20" width="18.33203125" bestFit="1" customWidth="1"/>
    <col min="21" max="21" width="11.88671875" customWidth="1"/>
    <col min="22" max="22" width="15.88671875" bestFit="1" customWidth="1"/>
    <col min="23" max="23" width="19.6640625" bestFit="1" customWidth="1"/>
  </cols>
  <sheetData>
    <row r="1" spans="1:22" ht="31.2" x14ac:dyDescent="0.6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2" x14ac:dyDescent="0.3">
      <c r="E2" s="31" t="s">
        <v>31</v>
      </c>
      <c r="F2" s="31"/>
      <c r="G2" s="11">
        <f>COUNTA(B11:B54)</f>
        <v>26</v>
      </c>
    </row>
    <row r="3" spans="1:22" x14ac:dyDescent="0.3">
      <c r="E3" s="31" t="s">
        <v>33</v>
      </c>
      <c r="F3" s="31"/>
      <c r="G3" s="11">
        <f>COUNTA(G8:R8)</f>
        <v>6</v>
      </c>
    </row>
    <row r="4" spans="1:22" x14ac:dyDescent="0.3">
      <c r="A4" s="9"/>
      <c r="B4" s="10" t="s">
        <v>23</v>
      </c>
      <c r="C4" s="3"/>
      <c r="D4" s="3"/>
    </row>
    <row r="6" spans="1:22" x14ac:dyDescent="0.3">
      <c r="D6" s="1" t="s">
        <v>0</v>
      </c>
      <c r="E6" s="26" t="s">
        <v>396</v>
      </c>
      <c r="F6" s="26"/>
      <c r="G6" s="26" t="s">
        <v>15</v>
      </c>
      <c r="H6" s="26"/>
      <c r="I6" s="26" t="s">
        <v>395</v>
      </c>
      <c r="J6" s="26"/>
      <c r="K6" s="26" t="s">
        <v>304</v>
      </c>
      <c r="L6" s="26"/>
      <c r="M6" s="26" t="s">
        <v>566</v>
      </c>
      <c r="N6" s="26"/>
      <c r="O6" s="26" t="s">
        <v>44</v>
      </c>
      <c r="P6" s="26"/>
      <c r="Q6" s="26" t="s">
        <v>534</v>
      </c>
      <c r="R6" s="26"/>
    </row>
    <row r="7" spans="1:22" x14ac:dyDescent="0.3">
      <c r="D7" s="1" t="s">
        <v>10</v>
      </c>
      <c r="E7" s="23">
        <v>2</v>
      </c>
      <c r="F7" s="24"/>
      <c r="G7" s="23">
        <v>2</v>
      </c>
      <c r="H7" s="24"/>
      <c r="I7" s="23">
        <v>3</v>
      </c>
      <c r="J7" s="24"/>
      <c r="K7" s="23">
        <v>4</v>
      </c>
      <c r="L7" s="24"/>
      <c r="M7" s="23">
        <v>3</v>
      </c>
      <c r="N7" s="24"/>
      <c r="O7" s="23">
        <v>5</v>
      </c>
      <c r="P7" s="24"/>
      <c r="Q7" s="23">
        <v>6</v>
      </c>
      <c r="R7" s="24"/>
    </row>
    <row r="8" spans="1:22" x14ac:dyDescent="0.3">
      <c r="D8" s="1" t="s">
        <v>1</v>
      </c>
      <c r="E8" s="29">
        <v>45607</v>
      </c>
      <c r="F8" s="29"/>
      <c r="G8" s="29">
        <v>45613</v>
      </c>
      <c r="H8" s="29"/>
      <c r="I8" s="29">
        <v>45263</v>
      </c>
      <c r="J8" s="29"/>
      <c r="K8" s="29">
        <v>45326</v>
      </c>
      <c r="L8" s="29"/>
      <c r="M8" s="29">
        <v>45367</v>
      </c>
      <c r="N8" s="29"/>
      <c r="O8" s="29">
        <v>45375</v>
      </c>
      <c r="P8" s="29"/>
      <c r="Q8" s="29">
        <v>45458</v>
      </c>
      <c r="R8" s="29"/>
      <c r="T8" s="11"/>
    </row>
    <row r="9" spans="1:22" x14ac:dyDescent="0.3">
      <c r="D9" s="1" t="s">
        <v>2</v>
      </c>
      <c r="E9" s="23">
        <v>7</v>
      </c>
      <c r="F9" s="24"/>
      <c r="G9" s="23">
        <v>24</v>
      </c>
      <c r="H9" s="24"/>
      <c r="I9" s="23">
        <v>25</v>
      </c>
      <c r="J9" s="24"/>
      <c r="K9" s="23">
        <v>125</v>
      </c>
      <c r="L9" s="24"/>
      <c r="M9" s="23">
        <v>22</v>
      </c>
      <c r="N9" s="24"/>
      <c r="O9" s="23">
        <v>123</v>
      </c>
      <c r="P9" s="24"/>
      <c r="Q9" s="23"/>
      <c r="R9" s="2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34</v>
      </c>
      <c r="U10" s="1" t="s">
        <v>9</v>
      </c>
      <c r="V10" s="1" t="s">
        <v>36</v>
      </c>
    </row>
    <row r="11" spans="1:22" x14ac:dyDescent="0.3">
      <c r="A11" s="5">
        <f t="shared" ref="A11:A36" si="0">U11</f>
        <v>1</v>
      </c>
      <c r="B11" s="6" t="s">
        <v>166</v>
      </c>
      <c r="C11" s="6" t="s">
        <v>103</v>
      </c>
      <c r="D11" s="6" t="s">
        <v>89</v>
      </c>
      <c r="E11" s="6">
        <v>3</v>
      </c>
      <c r="F11" s="7">
        <f t="shared" ref="F11:F32" si="1">IF(E11=0,,($E$9-E11)*$E$7*100/$E$9)</f>
        <v>114.28571428571429</v>
      </c>
      <c r="G11" s="6">
        <v>6</v>
      </c>
      <c r="H11" s="7">
        <f t="shared" ref="H11:H36" si="2">IF(G11=0,,($G$9-G11)*$G$7*100/$G$9)</f>
        <v>150</v>
      </c>
      <c r="I11" s="6">
        <v>2</v>
      </c>
      <c r="J11" s="7">
        <f t="shared" ref="J11:J31" si="3">IF(I11=0,,($I$9-I11)*$I$7*100/$I$9)</f>
        <v>276</v>
      </c>
      <c r="K11" s="6">
        <v>8</v>
      </c>
      <c r="L11" s="7">
        <f t="shared" ref="L11:L36" si="4">IF(K11=0,,($K$9-K11)*$K$7*100/$K$9)</f>
        <v>374.4</v>
      </c>
      <c r="M11" s="6">
        <v>1</v>
      </c>
      <c r="N11" s="7">
        <f t="shared" ref="N11:N33" si="5">IF(M11=0,,($M$9-M11)*$M$7*100/$M$9)</f>
        <v>286.36363636363637</v>
      </c>
      <c r="O11" s="6">
        <v>13</v>
      </c>
      <c r="P11" s="7">
        <f t="shared" ref="P11:P29" si="6">IF(O11=0,,($O$9-O11)*$O$7*100/$O$9)</f>
        <v>447.15447154471542</v>
      </c>
      <c r="Q11" s="6"/>
      <c r="R11" s="7">
        <f t="shared" ref="R11:R36" si="7">IF(Q11=0,,($Q$9-Q11)*$Q$7*100/$Q$9)</f>
        <v>0</v>
      </c>
      <c r="S11" s="8">
        <f>P11+J11+L11+N11</f>
        <v>1383.9181079083519</v>
      </c>
      <c r="T11" s="6">
        <f t="shared" ref="T11:T54" si="8">COUNTA(G11,I11,K11,M11,Q11,O11,E11)</f>
        <v>6</v>
      </c>
      <c r="U11" s="6">
        <f t="shared" ref="U11:U36" si="9">ROW(B11)-10</f>
        <v>1</v>
      </c>
      <c r="V11" s="13">
        <f t="shared" ref="V11:V54" si="10">T11/$G$3</f>
        <v>1</v>
      </c>
    </row>
    <row r="12" spans="1:22" x14ac:dyDescent="0.3">
      <c r="A12" s="5">
        <f t="shared" si="0"/>
        <v>2</v>
      </c>
      <c r="B12" s="6" t="s">
        <v>99</v>
      </c>
      <c r="C12" s="6" t="s">
        <v>100</v>
      </c>
      <c r="D12" s="6" t="s">
        <v>58</v>
      </c>
      <c r="E12" s="6"/>
      <c r="F12" s="7">
        <f t="shared" si="1"/>
        <v>0</v>
      </c>
      <c r="G12" s="6">
        <v>8</v>
      </c>
      <c r="H12" s="7">
        <f t="shared" si="2"/>
        <v>133.33333333333334</v>
      </c>
      <c r="I12" s="6">
        <v>1</v>
      </c>
      <c r="J12" s="7">
        <f t="shared" si="3"/>
        <v>288</v>
      </c>
      <c r="K12" s="6">
        <v>37</v>
      </c>
      <c r="L12" s="7">
        <f t="shared" si="4"/>
        <v>281.60000000000002</v>
      </c>
      <c r="M12" s="6">
        <v>2</v>
      </c>
      <c r="N12" s="7">
        <f t="shared" si="5"/>
        <v>272.72727272727275</v>
      </c>
      <c r="O12" s="6">
        <v>9</v>
      </c>
      <c r="P12" s="7">
        <f t="shared" si="6"/>
        <v>463.41463414634148</v>
      </c>
      <c r="Q12" s="6"/>
      <c r="R12" s="7">
        <f t="shared" si="7"/>
        <v>0</v>
      </c>
      <c r="S12" s="8">
        <f>P12+N12+L12+J12</f>
        <v>1305.7419068736144</v>
      </c>
      <c r="T12" s="6">
        <f t="shared" si="8"/>
        <v>5</v>
      </c>
      <c r="U12" s="6">
        <f t="shared" si="9"/>
        <v>2</v>
      </c>
      <c r="V12" s="13">
        <f t="shared" si="10"/>
        <v>0.83333333333333337</v>
      </c>
    </row>
    <row r="13" spans="1:22" x14ac:dyDescent="0.3">
      <c r="A13" s="5">
        <f t="shared" si="0"/>
        <v>3</v>
      </c>
      <c r="B13" s="6" t="s">
        <v>431</v>
      </c>
      <c r="C13" s="6" t="s">
        <v>432</v>
      </c>
      <c r="D13" s="6" t="s">
        <v>58</v>
      </c>
      <c r="E13" s="6"/>
      <c r="F13" s="7">
        <f t="shared" si="1"/>
        <v>0</v>
      </c>
      <c r="G13" s="6">
        <v>1</v>
      </c>
      <c r="H13" s="7">
        <f t="shared" si="2"/>
        <v>191.66666666666666</v>
      </c>
      <c r="I13" s="6">
        <v>3</v>
      </c>
      <c r="J13" s="7">
        <f t="shared" si="3"/>
        <v>264</v>
      </c>
      <c r="K13" s="6">
        <v>21</v>
      </c>
      <c r="L13" s="7">
        <f t="shared" si="4"/>
        <v>332.8</v>
      </c>
      <c r="M13" s="6">
        <v>3</v>
      </c>
      <c r="N13" s="7">
        <f t="shared" si="5"/>
        <v>259.09090909090907</v>
      </c>
      <c r="O13" s="6">
        <v>14</v>
      </c>
      <c r="P13" s="7">
        <f t="shared" si="6"/>
        <v>443.08943089430892</v>
      </c>
      <c r="Q13" s="6"/>
      <c r="R13" s="7">
        <f t="shared" si="7"/>
        <v>0</v>
      </c>
      <c r="S13" s="8">
        <f>P13+N13+L13+J13</f>
        <v>1298.9803399852181</v>
      </c>
      <c r="T13" s="6">
        <f t="shared" si="8"/>
        <v>5</v>
      </c>
      <c r="U13" s="6">
        <f t="shared" si="9"/>
        <v>3</v>
      </c>
      <c r="V13" s="13">
        <f t="shared" si="10"/>
        <v>0.83333333333333337</v>
      </c>
    </row>
    <row r="14" spans="1:22" x14ac:dyDescent="0.3">
      <c r="A14" s="5">
        <f t="shared" si="0"/>
        <v>4</v>
      </c>
      <c r="B14" s="6" t="s">
        <v>108</v>
      </c>
      <c r="C14" s="6" t="s">
        <v>109</v>
      </c>
      <c r="D14" s="6" t="s">
        <v>65</v>
      </c>
      <c r="E14" s="6"/>
      <c r="F14" s="7">
        <f t="shared" si="1"/>
        <v>0</v>
      </c>
      <c r="G14" s="6">
        <v>11</v>
      </c>
      <c r="H14" s="7">
        <f t="shared" si="2"/>
        <v>108.33333333333333</v>
      </c>
      <c r="I14" s="6">
        <v>5</v>
      </c>
      <c r="J14" s="7">
        <f t="shared" si="3"/>
        <v>240</v>
      </c>
      <c r="K14" s="6">
        <v>30</v>
      </c>
      <c r="L14" s="7">
        <f t="shared" si="4"/>
        <v>304</v>
      </c>
      <c r="M14" s="6">
        <v>3</v>
      </c>
      <c r="N14" s="7">
        <f t="shared" si="5"/>
        <v>259.09090909090907</v>
      </c>
      <c r="O14" s="14">
        <v>3</v>
      </c>
      <c r="P14" s="7">
        <f t="shared" si="6"/>
        <v>487.80487804878049</v>
      </c>
      <c r="Q14" s="14"/>
      <c r="R14" s="7">
        <f t="shared" si="7"/>
        <v>0</v>
      </c>
      <c r="S14" s="8">
        <f>P14+N14+L14+J14</f>
        <v>1290.8957871396897</v>
      </c>
      <c r="T14" s="6">
        <f t="shared" si="8"/>
        <v>5</v>
      </c>
      <c r="U14" s="6">
        <f t="shared" si="9"/>
        <v>4</v>
      </c>
      <c r="V14" s="13">
        <f t="shared" si="10"/>
        <v>0.83333333333333337</v>
      </c>
    </row>
    <row r="15" spans="1:22" x14ac:dyDescent="0.3">
      <c r="A15" s="5">
        <f t="shared" si="0"/>
        <v>5</v>
      </c>
      <c r="B15" s="6" t="s">
        <v>106</v>
      </c>
      <c r="C15" s="6" t="s">
        <v>441</v>
      </c>
      <c r="D15" s="6" t="s">
        <v>65</v>
      </c>
      <c r="E15" s="6"/>
      <c r="F15" s="7">
        <f t="shared" si="1"/>
        <v>0</v>
      </c>
      <c r="G15" s="6">
        <v>5</v>
      </c>
      <c r="H15" s="7">
        <f t="shared" si="2"/>
        <v>158.33333333333334</v>
      </c>
      <c r="I15" s="6">
        <v>3</v>
      </c>
      <c r="J15" s="7">
        <f t="shared" si="3"/>
        <v>264</v>
      </c>
      <c r="K15" s="6">
        <v>20</v>
      </c>
      <c r="L15" s="7">
        <f t="shared" si="4"/>
        <v>336</v>
      </c>
      <c r="M15" s="6">
        <v>7</v>
      </c>
      <c r="N15" s="7">
        <f t="shared" si="5"/>
        <v>204.54545454545453</v>
      </c>
      <c r="O15" s="6">
        <v>38</v>
      </c>
      <c r="P15" s="7">
        <f t="shared" si="6"/>
        <v>345.52845528455282</v>
      </c>
      <c r="Q15" s="6"/>
      <c r="R15" s="7">
        <f t="shared" si="7"/>
        <v>0</v>
      </c>
      <c r="S15" s="8">
        <f>P15+J15+L15+N15</f>
        <v>1150.0739098300073</v>
      </c>
      <c r="T15" s="6">
        <f t="shared" si="8"/>
        <v>5</v>
      </c>
      <c r="U15" s="6">
        <f t="shared" si="9"/>
        <v>5</v>
      </c>
      <c r="V15" s="13">
        <f t="shared" si="10"/>
        <v>0.83333333333333337</v>
      </c>
    </row>
    <row r="16" spans="1:22" x14ac:dyDescent="0.3">
      <c r="A16" s="5">
        <f t="shared" si="0"/>
        <v>6</v>
      </c>
      <c r="B16" s="6" t="s">
        <v>93</v>
      </c>
      <c r="C16" s="6" t="s">
        <v>433</v>
      </c>
      <c r="D16" s="6" t="s">
        <v>65</v>
      </c>
      <c r="E16" s="6"/>
      <c r="F16" s="7">
        <f t="shared" si="1"/>
        <v>0</v>
      </c>
      <c r="G16" s="6">
        <v>3</v>
      </c>
      <c r="H16" s="7">
        <f t="shared" si="2"/>
        <v>175</v>
      </c>
      <c r="I16" s="6">
        <v>7</v>
      </c>
      <c r="J16" s="7">
        <f t="shared" si="3"/>
        <v>216</v>
      </c>
      <c r="K16" s="6">
        <v>25</v>
      </c>
      <c r="L16" s="7">
        <f t="shared" si="4"/>
        <v>320</v>
      </c>
      <c r="M16" s="6">
        <v>5</v>
      </c>
      <c r="N16" s="7">
        <f t="shared" si="5"/>
        <v>231.81818181818181</v>
      </c>
      <c r="O16" s="6">
        <v>32</v>
      </c>
      <c r="P16" s="7">
        <f t="shared" si="6"/>
        <v>369.91869918699189</v>
      </c>
      <c r="Q16" s="6"/>
      <c r="R16" s="7">
        <f t="shared" si="7"/>
        <v>0</v>
      </c>
      <c r="S16" s="8">
        <f>P16+N16+L16+J16</f>
        <v>1137.7368810051737</v>
      </c>
      <c r="T16" s="6">
        <f t="shared" si="8"/>
        <v>5</v>
      </c>
      <c r="U16" s="6">
        <f t="shared" si="9"/>
        <v>6</v>
      </c>
      <c r="V16" s="13">
        <f t="shared" si="10"/>
        <v>0.83333333333333337</v>
      </c>
    </row>
    <row r="17" spans="1:22" x14ac:dyDescent="0.3">
      <c r="A17" s="5">
        <f t="shared" si="0"/>
        <v>7</v>
      </c>
      <c r="B17" s="6" t="s">
        <v>101</v>
      </c>
      <c r="C17" s="6" t="s">
        <v>102</v>
      </c>
      <c r="D17" s="6" t="s">
        <v>72</v>
      </c>
      <c r="E17" s="6">
        <v>2</v>
      </c>
      <c r="F17" s="7">
        <f t="shared" si="1"/>
        <v>142.85714285714286</v>
      </c>
      <c r="G17" s="6">
        <v>4</v>
      </c>
      <c r="H17" s="7">
        <f t="shared" si="2"/>
        <v>166.66666666666666</v>
      </c>
      <c r="I17" s="6">
        <v>6</v>
      </c>
      <c r="J17" s="7">
        <f t="shared" si="3"/>
        <v>228</v>
      </c>
      <c r="K17" s="6">
        <v>36</v>
      </c>
      <c r="L17" s="7">
        <f t="shared" si="4"/>
        <v>284.8</v>
      </c>
      <c r="M17" s="6">
        <v>6</v>
      </c>
      <c r="N17" s="7">
        <f t="shared" si="5"/>
        <v>218.18181818181819</v>
      </c>
      <c r="O17" s="14">
        <v>37</v>
      </c>
      <c r="P17" s="7">
        <f t="shared" si="6"/>
        <v>349.59349593495932</v>
      </c>
      <c r="Q17" s="14"/>
      <c r="R17" s="7">
        <f t="shared" si="7"/>
        <v>0</v>
      </c>
      <c r="S17" s="8">
        <f>P17+J17+L17+N17</f>
        <v>1080.5753141167775</v>
      </c>
      <c r="T17" s="6">
        <f t="shared" si="8"/>
        <v>6</v>
      </c>
      <c r="U17" s="6">
        <f t="shared" si="9"/>
        <v>7</v>
      </c>
      <c r="V17" s="13">
        <f t="shared" si="10"/>
        <v>1</v>
      </c>
    </row>
    <row r="18" spans="1:22" x14ac:dyDescent="0.3">
      <c r="A18" s="5">
        <f t="shared" si="0"/>
        <v>8</v>
      </c>
      <c r="B18" s="6" t="s">
        <v>388</v>
      </c>
      <c r="C18" s="6" t="s">
        <v>389</v>
      </c>
      <c r="D18" s="6" t="s">
        <v>89</v>
      </c>
      <c r="E18" s="6">
        <v>1</v>
      </c>
      <c r="F18" s="7">
        <f t="shared" si="1"/>
        <v>171.42857142857142</v>
      </c>
      <c r="G18" s="6"/>
      <c r="H18" s="7">
        <f t="shared" si="2"/>
        <v>0</v>
      </c>
      <c r="I18" s="6">
        <v>9</v>
      </c>
      <c r="J18" s="7">
        <f t="shared" si="3"/>
        <v>192</v>
      </c>
      <c r="K18" s="6">
        <v>49</v>
      </c>
      <c r="L18" s="7">
        <f t="shared" si="4"/>
        <v>243.2</v>
      </c>
      <c r="M18" s="6">
        <v>10</v>
      </c>
      <c r="N18" s="7">
        <f t="shared" si="5"/>
        <v>163.63636363636363</v>
      </c>
      <c r="O18" s="14">
        <v>63</v>
      </c>
      <c r="P18" s="7">
        <f t="shared" si="6"/>
        <v>243.90243902439025</v>
      </c>
      <c r="Q18" s="14"/>
      <c r="R18" s="7">
        <f t="shared" si="7"/>
        <v>0</v>
      </c>
      <c r="S18" s="8">
        <f>P18+N18+J18+L18</f>
        <v>842.73880266075389</v>
      </c>
      <c r="T18" s="6">
        <f t="shared" si="8"/>
        <v>5</v>
      </c>
      <c r="U18" s="6">
        <f t="shared" si="9"/>
        <v>8</v>
      </c>
      <c r="V18" s="13">
        <f t="shared" si="10"/>
        <v>0.83333333333333337</v>
      </c>
    </row>
    <row r="19" spans="1:22" x14ac:dyDescent="0.3">
      <c r="A19" s="5">
        <f t="shared" si="0"/>
        <v>9</v>
      </c>
      <c r="B19" s="6" t="s">
        <v>198</v>
      </c>
      <c r="C19" s="6" t="s">
        <v>199</v>
      </c>
      <c r="D19" s="6" t="s">
        <v>252</v>
      </c>
      <c r="E19" s="6">
        <v>3</v>
      </c>
      <c r="F19" s="7">
        <f t="shared" si="1"/>
        <v>114.28571428571429</v>
      </c>
      <c r="G19" s="6">
        <v>12</v>
      </c>
      <c r="H19" s="7">
        <f t="shared" si="2"/>
        <v>100</v>
      </c>
      <c r="I19" s="6">
        <v>8</v>
      </c>
      <c r="J19" s="7">
        <f t="shared" si="3"/>
        <v>204</v>
      </c>
      <c r="K19" s="6">
        <v>43</v>
      </c>
      <c r="L19" s="7">
        <f t="shared" si="4"/>
        <v>262.39999999999998</v>
      </c>
      <c r="M19" s="6">
        <v>11</v>
      </c>
      <c r="N19" s="7">
        <f t="shared" si="5"/>
        <v>150</v>
      </c>
      <c r="O19" s="6">
        <v>74</v>
      </c>
      <c r="P19" s="7">
        <f t="shared" si="6"/>
        <v>199.1869918699187</v>
      </c>
      <c r="Q19" s="6"/>
      <c r="R19" s="7">
        <f t="shared" si="7"/>
        <v>0</v>
      </c>
      <c r="S19" s="8">
        <f>P19+J19+L19+N19</f>
        <v>815.58699186991862</v>
      </c>
      <c r="T19" s="6">
        <f t="shared" si="8"/>
        <v>6</v>
      </c>
      <c r="U19" s="6">
        <f t="shared" si="9"/>
        <v>9</v>
      </c>
      <c r="V19" s="13">
        <f t="shared" si="10"/>
        <v>1</v>
      </c>
    </row>
    <row r="20" spans="1:22" ht="14.25" customHeight="1" x14ac:dyDescent="0.3">
      <c r="A20" s="5">
        <f t="shared" si="0"/>
        <v>10</v>
      </c>
      <c r="B20" s="6" t="s">
        <v>95</v>
      </c>
      <c r="C20" s="6" t="s">
        <v>96</v>
      </c>
      <c r="D20" s="6" t="s">
        <v>72</v>
      </c>
      <c r="E20" s="6"/>
      <c r="F20" s="7">
        <f t="shared" si="1"/>
        <v>0</v>
      </c>
      <c r="G20" s="6">
        <v>7</v>
      </c>
      <c r="H20" s="7">
        <f t="shared" si="2"/>
        <v>141.66666666666666</v>
      </c>
      <c r="I20" s="6">
        <v>16</v>
      </c>
      <c r="J20" s="7">
        <f t="shared" si="3"/>
        <v>108</v>
      </c>
      <c r="K20" s="6">
        <v>63</v>
      </c>
      <c r="L20" s="7">
        <f t="shared" si="4"/>
        <v>198.4</v>
      </c>
      <c r="M20" s="6">
        <v>9</v>
      </c>
      <c r="N20" s="7">
        <f t="shared" si="5"/>
        <v>177.27272727272728</v>
      </c>
      <c r="O20" s="14">
        <v>88</v>
      </c>
      <c r="P20" s="7">
        <f t="shared" si="6"/>
        <v>142.27642276422765</v>
      </c>
      <c r="Q20" s="14"/>
      <c r="R20" s="7">
        <f t="shared" si="7"/>
        <v>0</v>
      </c>
      <c r="S20" s="8">
        <f>P20+N20+L20+H20</f>
        <v>659.61581670362159</v>
      </c>
      <c r="T20" s="6">
        <f t="shared" si="8"/>
        <v>5</v>
      </c>
      <c r="U20" s="6">
        <f t="shared" si="9"/>
        <v>10</v>
      </c>
      <c r="V20" s="13">
        <f t="shared" si="10"/>
        <v>0.83333333333333337</v>
      </c>
    </row>
    <row r="21" spans="1:22" x14ac:dyDescent="0.3">
      <c r="A21" s="5">
        <f t="shared" si="0"/>
        <v>11</v>
      </c>
      <c r="B21" s="6" t="s">
        <v>245</v>
      </c>
      <c r="C21" s="6" t="s">
        <v>98</v>
      </c>
      <c r="D21" s="6" t="s">
        <v>65</v>
      </c>
      <c r="E21" s="6"/>
      <c r="F21" s="7">
        <f t="shared" si="1"/>
        <v>0</v>
      </c>
      <c r="G21" s="6">
        <v>19</v>
      </c>
      <c r="H21" s="7">
        <f t="shared" si="2"/>
        <v>41.666666666666664</v>
      </c>
      <c r="I21" s="6">
        <v>12</v>
      </c>
      <c r="J21" s="7">
        <f t="shared" si="3"/>
        <v>156</v>
      </c>
      <c r="K21" s="6">
        <v>77</v>
      </c>
      <c r="L21" s="7">
        <f t="shared" si="4"/>
        <v>153.6</v>
      </c>
      <c r="M21" s="6">
        <v>12</v>
      </c>
      <c r="N21" s="7">
        <f t="shared" si="5"/>
        <v>136.36363636363637</v>
      </c>
      <c r="O21" s="6">
        <v>83</v>
      </c>
      <c r="P21" s="7">
        <f t="shared" si="6"/>
        <v>162.60162601626016</v>
      </c>
      <c r="Q21" s="6"/>
      <c r="R21" s="7">
        <f t="shared" si="7"/>
        <v>0</v>
      </c>
      <c r="S21" s="8">
        <f>P21+N21+J21+L21</f>
        <v>608.56526237989658</v>
      </c>
      <c r="T21" s="6">
        <f t="shared" si="8"/>
        <v>5</v>
      </c>
      <c r="U21" s="6">
        <f t="shared" si="9"/>
        <v>11</v>
      </c>
      <c r="V21" s="13">
        <f t="shared" si="10"/>
        <v>0.83333333333333337</v>
      </c>
    </row>
    <row r="22" spans="1:22" x14ac:dyDescent="0.3">
      <c r="A22" s="5">
        <f t="shared" si="0"/>
        <v>12</v>
      </c>
      <c r="B22" s="6" t="s">
        <v>392</v>
      </c>
      <c r="C22" s="6" t="s">
        <v>390</v>
      </c>
      <c r="D22" s="6" t="s">
        <v>89</v>
      </c>
      <c r="E22" s="6">
        <v>5</v>
      </c>
      <c r="F22" s="7">
        <f t="shared" si="1"/>
        <v>57.142857142857146</v>
      </c>
      <c r="G22" s="6"/>
      <c r="H22" s="7">
        <f t="shared" si="2"/>
        <v>0</v>
      </c>
      <c r="I22" s="6">
        <v>13</v>
      </c>
      <c r="J22" s="7">
        <f t="shared" si="3"/>
        <v>144</v>
      </c>
      <c r="K22" s="6">
        <v>85</v>
      </c>
      <c r="L22" s="7">
        <f t="shared" si="4"/>
        <v>128</v>
      </c>
      <c r="M22" s="6">
        <v>14</v>
      </c>
      <c r="N22" s="7">
        <f t="shared" si="5"/>
        <v>109.09090909090909</v>
      </c>
      <c r="O22" s="14">
        <v>85</v>
      </c>
      <c r="P22" s="7">
        <f t="shared" si="6"/>
        <v>154.47154471544715</v>
      </c>
      <c r="Q22" s="14"/>
      <c r="R22" s="7">
        <f t="shared" si="7"/>
        <v>0</v>
      </c>
      <c r="S22" s="8">
        <f>P22+N22+J22+L22</f>
        <v>535.56245380635619</v>
      </c>
      <c r="T22" s="6">
        <f t="shared" si="8"/>
        <v>5</v>
      </c>
      <c r="U22" s="6">
        <f t="shared" si="9"/>
        <v>12</v>
      </c>
      <c r="V22" s="13">
        <f t="shared" si="10"/>
        <v>0.83333333333333337</v>
      </c>
    </row>
    <row r="23" spans="1:22" x14ac:dyDescent="0.3">
      <c r="A23" s="5">
        <f t="shared" si="0"/>
        <v>13</v>
      </c>
      <c r="B23" s="6" t="s">
        <v>165</v>
      </c>
      <c r="C23" s="6" t="s">
        <v>442</v>
      </c>
      <c r="D23" s="6" t="s">
        <v>48</v>
      </c>
      <c r="E23" s="6"/>
      <c r="F23" s="7">
        <f t="shared" si="1"/>
        <v>0</v>
      </c>
      <c r="G23" s="6"/>
      <c r="H23" s="7">
        <f t="shared" si="2"/>
        <v>0</v>
      </c>
      <c r="I23" s="6">
        <v>15</v>
      </c>
      <c r="J23" s="7">
        <f t="shared" si="3"/>
        <v>120</v>
      </c>
      <c r="K23" s="6">
        <v>83</v>
      </c>
      <c r="L23" s="7">
        <f t="shared" si="4"/>
        <v>134.4</v>
      </c>
      <c r="M23" s="6">
        <v>13</v>
      </c>
      <c r="N23" s="7">
        <f t="shared" si="5"/>
        <v>122.72727272727273</v>
      </c>
      <c r="O23" s="6">
        <v>95</v>
      </c>
      <c r="P23" s="7">
        <f t="shared" si="6"/>
        <v>113.82113821138212</v>
      </c>
      <c r="Q23" s="6"/>
      <c r="R23" s="7">
        <f t="shared" si="7"/>
        <v>0</v>
      </c>
      <c r="S23" s="8">
        <f>P23+R23+L23+N23+J23+H23+F23</f>
        <v>490.94841093865489</v>
      </c>
      <c r="T23" s="6">
        <f t="shared" si="8"/>
        <v>4</v>
      </c>
      <c r="U23" s="6">
        <f t="shared" si="9"/>
        <v>13</v>
      </c>
      <c r="V23" s="13">
        <f t="shared" si="10"/>
        <v>0.66666666666666663</v>
      </c>
    </row>
    <row r="24" spans="1:22" x14ac:dyDescent="0.3">
      <c r="A24" s="5">
        <f t="shared" si="0"/>
        <v>14</v>
      </c>
      <c r="B24" s="6" t="s">
        <v>330</v>
      </c>
      <c r="C24" s="6" t="s">
        <v>331</v>
      </c>
      <c r="D24" s="6" t="s">
        <v>65</v>
      </c>
      <c r="E24" s="6"/>
      <c r="F24" s="7">
        <f t="shared" si="1"/>
        <v>0</v>
      </c>
      <c r="G24" s="6">
        <v>15</v>
      </c>
      <c r="H24" s="7">
        <f t="shared" si="2"/>
        <v>75</v>
      </c>
      <c r="I24" s="6">
        <v>10</v>
      </c>
      <c r="J24" s="7">
        <f t="shared" si="3"/>
        <v>180</v>
      </c>
      <c r="K24" s="6"/>
      <c r="L24" s="7">
        <f t="shared" si="4"/>
        <v>0</v>
      </c>
      <c r="M24" s="6">
        <v>8</v>
      </c>
      <c r="N24" s="7">
        <f t="shared" si="5"/>
        <v>190.90909090909091</v>
      </c>
      <c r="O24" s="6"/>
      <c r="P24" s="7">
        <f t="shared" si="6"/>
        <v>0</v>
      </c>
      <c r="Q24" s="6"/>
      <c r="R24" s="7">
        <f t="shared" si="7"/>
        <v>0</v>
      </c>
      <c r="S24" s="8">
        <f>P24+R24+L24+N24+J24+H24+F24</f>
        <v>445.90909090909088</v>
      </c>
      <c r="T24" s="6">
        <f t="shared" si="8"/>
        <v>3</v>
      </c>
      <c r="U24" s="6">
        <f t="shared" si="9"/>
        <v>14</v>
      </c>
      <c r="V24" s="13">
        <f t="shared" si="10"/>
        <v>0.5</v>
      </c>
    </row>
    <row r="25" spans="1:22" x14ac:dyDescent="0.3">
      <c r="A25" s="5">
        <f t="shared" si="0"/>
        <v>15</v>
      </c>
      <c r="B25" s="6" t="s">
        <v>374</v>
      </c>
      <c r="C25" s="6" t="s">
        <v>375</v>
      </c>
      <c r="D25" s="6" t="s">
        <v>129</v>
      </c>
      <c r="E25" s="6"/>
      <c r="F25" s="7">
        <f t="shared" si="1"/>
        <v>0</v>
      </c>
      <c r="G25" s="6"/>
      <c r="H25" s="7">
        <f t="shared" si="2"/>
        <v>0</v>
      </c>
      <c r="I25" s="6">
        <v>17</v>
      </c>
      <c r="J25" s="7">
        <f t="shared" si="3"/>
        <v>96</v>
      </c>
      <c r="K25" s="6">
        <v>78</v>
      </c>
      <c r="L25" s="7">
        <f t="shared" si="4"/>
        <v>150.4</v>
      </c>
      <c r="M25" s="6">
        <v>18</v>
      </c>
      <c r="N25" s="7">
        <f t="shared" si="5"/>
        <v>54.545454545454547</v>
      </c>
      <c r="O25" s="6">
        <v>116</v>
      </c>
      <c r="P25" s="7">
        <f t="shared" si="6"/>
        <v>28.45528455284553</v>
      </c>
      <c r="Q25" s="6"/>
      <c r="R25" s="7">
        <f t="shared" si="7"/>
        <v>0</v>
      </c>
      <c r="S25" s="8">
        <f>P25+R25+L25+N25+J25+H25+F25</f>
        <v>329.40073909830011</v>
      </c>
      <c r="T25" s="6">
        <f t="shared" si="8"/>
        <v>4</v>
      </c>
      <c r="U25" s="6">
        <f t="shared" si="9"/>
        <v>15</v>
      </c>
      <c r="V25" s="13">
        <f t="shared" si="10"/>
        <v>0.66666666666666663</v>
      </c>
    </row>
    <row r="26" spans="1:22" x14ac:dyDescent="0.3">
      <c r="A26" s="5">
        <f t="shared" si="0"/>
        <v>16</v>
      </c>
      <c r="B26" s="6" t="s">
        <v>333</v>
      </c>
      <c r="C26" s="6" t="s">
        <v>148</v>
      </c>
      <c r="D26" s="6" t="s">
        <v>65</v>
      </c>
      <c r="E26" s="6"/>
      <c r="F26" s="7">
        <f t="shared" si="1"/>
        <v>0</v>
      </c>
      <c r="G26" s="6">
        <v>23</v>
      </c>
      <c r="H26" s="7">
        <f t="shared" si="2"/>
        <v>8.3333333333333339</v>
      </c>
      <c r="I26" s="6">
        <v>14</v>
      </c>
      <c r="J26" s="7">
        <f t="shared" si="3"/>
        <v>132</v>
      </c>
      <c r="K26" s="6">
        <v>116</v>
      </c>
      <c r="L26" s="7">
        <f t="shared" si="4"/>
        <v>28.8</v>
      </c>
      <c r="M26" s="6">
        <v>15</v>
      </c>
      <c r="N26" s="7">
        <f t="shared" si="5"/>
        <v>95.454545454545453</v>
      </c>
      <c r="O26" s="6">
        <v>118</v>
      </c>
      <c r="P26" s="7">
        <f t="shared" si="6"/>
        <v>20.325203252032519</v>
      </c>
      <c r="Q26" s="6"/>
      <c r="R26" s="7">
        <f t="shared" si="7"/>
        <v>0</v>
      </c>
      <c r="S26" s="8">
        <f>P26+N26+J26+L26</f>
        <v>276.57974870657796</v>
      </c>
      <c r="T26" s="6">
        <f t="shared" si="8"/>
        <v>5</v>
      </c>
      <c r="U26" s="6">
        <f t="shared" si="9"/>
        <v>16</v>
      </c>
      <c r="V26" s="13">
        <f t="shared" si="10"/>
        <v>0.83333333333333337</v>
      </c>
    </row>
    <row r="27" spans="1:22" x14ac:dyDescent="0.3">
      <c r="A27" s="5">
        <f t="shared" si="0"/>
        <v>17</v>
      </c>
      <c r="B27" s="6" t="s">
        <v>144</v>
      </c>
      <c r="C27" s="6" t="s">
        <v>145</v>
      </c>
      <c r="D27" s="6" t="s">
        <v>252</v>
      </c>
      <c r="E27" s="6"/>
      <c r="F27" s="7">
        <f t="shared" si="1"/>
        <v>0</v>
      </c>
      <c r="G27" s="6"/>
      <c r="H27" s="7">
        <f t="shared" si="2"/>
        <v>0</v>
      </c>
      <c r="I27" s="6">
        <v>11</v>
      </c>
      <c r="J27" s="7">
        <f t="shared" si="3"/>
        <v>168</v>
      </c>
      <c r="K27" s="6"/>
      <c r="L27" s="7">
        <f t="shared" si="4"/>
        <v>0</v>
      </c>
      <c r="M27" s="6">
        <v>16</v>
      </c>
      <c r="N27" s="7">
        <f t="shared" si="5"/>
        <v>81.818181818181813</v>
      </c>
      <c r="O27" s="6"/>
      <c r="P27" s="7">
        <f t="shared" si="6"/>
        <v>0</v>
      </c>
      <c r="Q27" s="6"/>
      <c r="R27" s="7">
        <f t="shared" si="7"/>
        <v>0</v>
      </c>
      <c r="S27" s="8">
        <f t="shared" ref="S27:S36" si="11">P27+R27+L27+N27+J27+H27+F27</f>
        <v>249.81818181818181</v>
      </c>
      <c r="T27" s="6">
        <f t="shared" si="8"/>
        <v>2</v>
      </c>
      <c r="U27" s="6">
        <f t="shared" si="9"/>
        <v>17</v>
      </c>
      <c r="V27" s="13">
        <f t="shared" si="10"/>
        <v>0.33333333333333331</v>
      </c>
    </row>
    <row r="28" spans="1:22" x14ac:dyDescent="0.3">
      <c r="A28" s="5">
        <f t="shared" si="0"/>
        <v>18</v>
      </c>
      <c r="B28" s="6" t="s">
        <v>379</v>
      </c>
      <c r="C28" s="6" t="s">
        <v>380</v>
      </c>
      <c r="D28" s="6" t="s">
        <v>378</v>
      </c>
      <c r="E28" s="6"/>
      <c r="F28" s="7">
        <f t="shared" si="1"/>
        <v>0</v>
      </c>
      <c r="G28" s="6"/>
      <c r="H28" s="7">
        <f t="shared" si="2"/>
        <v>0</v>
      </c>
      <c r="I28" s="6">
        <v>23</v>
      </c>
      <c r="J28" s="7">
        <f t="shared" si="3"/>
        <v>24</v>
      </c>
      <c r="K28" s="6">
        <v>107</v>
      </c>
      <c r="L28" s="7">
        <f t="shared" si="4"/>
        <v>57.6</v>
      </c>
      <c r="M28" s="6">
        <v>20</v>
      </c>
      <c r="N28" s="7">
        <f t="shared" si="5"/>
        <v>27.272727272727273</v>
      </c>
      <c r="O28" s="6">
        <v>102</v>
      </c>
      <c r="P28" s="7">
        <f t="shared" si="6"/>
        <v>85.365853658536579</v>
      </c>
      <c r="Q28" s="6"/>
      <c r="R28" s="7">
        <f t="shared" si="7"/>
        <v>0</v>
      </c>
      <c r="S28" s="8">
        <f t="shared" si="11"/>
        <v>194.23858093126387</v>
      </c>
      <c r="T28" s="6">
        <f t="shared" si="8"/>
        <v>4</v>
      </c>
      <c r="U28" s="6">
        <f t="shared" si="9"/>
        <v>18</v>
      </c>
      <c r="V28" s="13">
        <f t="shared" si="10"/>
        <v>0.66666666666666663</v>
      </c>
    </row>
    <row r="29" spans="1:22" x14ac:dyDescent="0.3">
      <c r="A29" s="5">
        <f t="shared" si="0"/>
        <v>19</v>
      </c>
      <c r="B29" s="6" t="s">
        <v>443</v>
      </c>
      <c r="C29" s="6" t="s">
        <v>444</v>
      </c>
      <c r="D29" s="6" t="s">
        <v>252</v>
      </c>
      <c r="E29" s="6"/>
      <c r="F29" s="7">
        <f t="shared" si="1"/>
        <v>0</v>
      </c>
      <c r="G29" s="6"/>
      <c r="H29" s="7">
        <f t="shared" si="2"/>
        <v>0</v>
      </c>
      <c r="I29" s="6">
        <v>19</v>
      </c>
      <c r="J29" s="7">
        <f t="shared" si="3"/>
        <v>72</v>
      </c>
      <c r="K29" s="6"/>
      <c r="L29" s="7">
        <f t="shared" si="4"/>
        <v>0</v>
      </c>
      <c r="M29" s="6">
        <v>17</v>
      </c>
      <c r="N29" s="7">
        <f t="shared" si="5"/>
        <v>68.181818181818187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1"/>
        <v>140.18181818181819</v>
      </c>
      <c r="T29" s="6">
        <f t="shared" si="8"/>
        <v>2</v>
      </c>
      <c r="U29" s="6">
        <f t="shared" si="9"/>
        <v>19</v>
      </c>
      <c r="V29" s="13">
        <f t="shared" si="10"/>
        <v>0.33333333333333331</v>
      </c>
    </row>
    <row r="30" spans="1:22" x14ac:dyDescent="0.3">
      <c r="A30" s="5">
        <f t="shared" si="0"/>
        <v>20</v>
      </c>
      <c r="B30" s="6" t="s">
        <v>336</v>
      </c>
      <c r="C30" s="6" t="s">
        <v>334</v>
      </c>
      <c r="D30" s="6" t="s">
        <v>72</v>
      </c>
      <c r="E30" s="6"/>
      <c r="F30" s="7">
        <f t="shared" si="1"/>
        <v>0</v>
      </c>
      <c r="G30" s="6"/>
      <c r="H30" s="7">
        <f t="shared" si="2"/>
        <v>0</v>
      </c>
      <c r="I30" s="6">
        <v>21</v>
      </c>
      <c r="J30" s="7">
        <f t="shared" si="3"/>
        <v>48</v>
      </c>
      <c r="K30" s="6">
        <v>121</v>
      </c>
      <c r="L30" s="7">
        <f t="shared" si="4"/>
        <v>12.8</v>
      </c>
      <c r="M30" s="6">
        <v>19</v>
      </c>
      <c r="N30" s="7">
        <f t="shared" si="5"/>
        <v>40.909090909090907</v>
      </c>
      <c r="O30" s="6">
        <v>123</v>
      </c>
      <c r="P30" s="7">
        <f>4/2</f>
        <v>2</v>
      </c>
      <c r="Q30" s="6"/>
      <c r="R30" s="7">
        <f t="shared" si="7"/>
        <v>0</v>
      </c>
      <c r="S30" s="8">
        <f t="shared" si="11"/>
        <v>103.7090909090909</v>
      </c>
      <c r="T30" s="6">
        <f t="shared" si="8"/>
        <v>4</v>
      </c>
      <c r="U30" s="6">
        <f t="shared" si="9"/>
        <v>20</v>
      </c>
      <c r="V30" s="13">
        <f t="shared" si="10"/>
        <v>0.66666666666666663</v>
      </c>
    </row>
    <row r="31" spans="1:22" x14ac:dyDescent="0.3">
      <c r="A31" s="5">
        <f t="shared" si="0"/>
        <v>21</v>
      </c>
      <c r="B31" s="6" t="s">
        <v>167</v>
      </c>
      <c r="C31" s="6" t="s">
        <v>168</v>
      </c>
      <c r="D31" s="6" t="s">
        <v>89</v>
      </c>
      <c r="E31" s="6"/>
      <c r="F31" s="7">
        <f t="shared" si="1"/>
        <v>0</v>
      </c>
      <c r="G31" s="6"/>
      <c r="H31" s="7">
        <f t="shared" si="2"/>
        <v>0</v>
      </c>
      <c r="I31" s="6">
        <v>18</v>
      </c>
      <c r="J31" s="7">
        <f t="shared" si="3"/>
        <v>84</v>
      </c>
      <c r="K31" s="6"/>
      <c r="L31" s="7">
        <f t="shared" si="4"/>
        <v>0</v>
      </c>
      <c r="M31" s="6">
        <v>21</v>
      </c>
      <c r="N31" s="7">
        <f t="shared" si="5"/>
        <v>13.636363636363637</v>
      </c>
      <c r="O31" s="6"/>
      <c r="P31" s="7">
        <f t="shared" ref="P31:P36" si="12">IF(O31=0,,($O$9-O31)*$O$7*100/$O$9)</f>
        <v>0</v>
      </c>
      <c r="Q31" s="6"/>
      <c r="R31" s="7">
        <f t="shared" si="7"/>
        <v>0</v>
      </c>
      <c r="S31" s="8">
        <f t="shared" si="11"/>
        <v>97.63636363636364</v>
      </c>
      <c r="T31" s="6">
        <f t="shared" si="8"/>
        <v>2</v>
      </c>
      <c r="U31" s="6">
        <f t="shared" si="9"/>
        <v>21</v>
      </c>
      <c r="V31" s="13">
        <f t="shared" si="10"/>
        <v>0.33333333333333331</v>
      </c>
    </row>
    <row r="32" spans="1:22" x14ac:dyDescent="0.3">
      <c r="A32" s="5">
        <f t="shared" si="0"/>
        <v>22</v>
      </c>
      <c r="B32" s="6" t="s">
        <v>448</v>
      </c>
      <c r="C32" s="6" t="s">
        <v>335</v>
      </c>
      <c r="D32" s="6" t="s">
        <v>72</v>
      </c>
      <c r="E32" s="6"/>
      <c r="F32" s="7">
        <f t="shared" si="1"/>
        <v>0</v>
      </c>
      <c r="G32" s="6"/>
      <c r="H32" s="7">
        <f t="shared" si="2"/>
        <v>0</v>
      </c>
      <c r="I32" s="6">
        <v>25</v>
      </c>
      <c r="J32" s="7">
        <f>J31/2</f>
        <v>42</v>
      </c>
      <c r="K32" s="6"/>
      <c r="L32" s="7">
        <f t="shared" si="4"/>
        <v>0</v>
      </c>
      <c r="M32" s="6"/>
      <c r="N32" s="7">
        <f t="shared" si="5"/>
        <v>0</v>
      </c>
      <c r="O32" s="14"/>
      <c r="P32" s="7">
        <f t="shared" si="12"/>
        <v>0</v>
      </c>
      <c r="Q32" s="14"/>
      <c r="R32" s="7">
        <f t="shared" si="7"/>
        <v>0</v>
      </c>
      <c r="S32" s="8">
        <f t="shared" si="11"/>
        <v>42</v>
      </c>
      <c r="T32" s="6">
        <f t="shared" si="8"/>
        <v>1</v>
      </c>
      <c r="U32" s="6">
        <f t="shared" si="9"/>
        <v>22</v>
      </c>
      <c r="V32" s="13">
        <f t="shared" si="10"/>
        <v>0.16666666666666666</v>
      </c>
    </row>
    <row r="33" spans="1:22" x14ac:dyDescent="0.3">
      <c r="A33" s="5">
        <f t="shared" si="0"/>
        <v>23</v>
      </c>
      <c r="B33" s="6" t="s">
        <v>394</v>
      </c>
      <c r="C33" s="6" t="s">
        <v>145</v>
      </c>
      <c r="D33" s="6" t="s">
        <v>49</v>
      </c>
      <c r="E33" s="6">
        <v>7</v>
      </c>
      <c r="F33" s="7">
        <f>29/2</f>
        <v>14.5</v>
      </c>
      <c r="G33" s="6"/>
      <c r="H33" s="7">
        <f t="shared" si="2"/>
        <v>0</v>
      </c>
      <c r="I33" s="6">
        <v>20</v>
      </c>
      <c r="J33" s="7">
        <f>IF(I33=0,,($I$9-I33)*$I$7*100/$I$9)</f>
        <v>60</v>
      </c>
      <c r="K33" s="6"/>
      <c r="L33" s="7">
        <f t="shared" si="4"/>
        <v>0</v>
      </c>
      <c r="M33" s="6"/>
      <c r="N33" s="7">
        <f t="shared" si="5"/>
        <v>0</v>
      </c>
      <c r="O33" s="14"/>
      <c r="P33" s="7">
        <f t="shared" si="12"/>
        <v>0</v>
      </c>
      <c r="Q33" s="14"/>
      <c r="R33" s="7">
        <f t="shared" si="7"/>
        <v>0</v>
      </c>
      <c r="S33" s="8">
        <f t="shared" si="11"/>
        <v>74.5</v>
      </c>
      <c r="T33" s="6">
        <f t="shared" si="8"/>
        <v>2</v>
      </c>
      <c r="U33" s="6">
        <f t="shared" si="9"/>
        <v>23</v>
      </c>
      <c r="V33" s="13">
        <f t="shared" si="10"/>
        <v>0.33333333333333331</v>
      </c>
    </row>
    <row r="34" spans="1:22" x14ac:dyDescent="0.3">
      <c r="A34" s="5">
        <f t="shared" si="0"/>
        <v>24</v>
      </c>
      <c r="B34" s="6" t="s">
        <v>445</v>
      </c>
      <c r="C34" s="6" t="s">
        <v>209</v>
      </c>
      <c r="D34" s="6" t="s">
        <v>49</v>
      </c>
      <c r="E34" s="6"/>
      <c r="F34" s="7">
        <f>IF(E34=0,,($E$9-E34)*$E$7*100/$E$9)</f>
        <v>0</v>
      </c>
      <c r="G34" s="6"/>
      <c r="H34" s="7">
        <f t="shared" si="2"/>
        <v>0</v>
      </c>
      <c r="I34" s="6">
        <v>22</v>
      </c>
      <c r="J34" s="7">
        <f>IF(I34=0,,($I$9-I34)*$I$7*100/$I$9)</f>
        <v>36</v>
      </c>
      <c r="K34" s="6">
        <v>123</v>
      </c>
      <c r="L34" s="7">
        <f t="shared" si="4"/>
        <v>6.4</v>
      </c>
      <c r="M34" s="6">
        <v>22</v>
      </c>
      <c r="N34" s="7">
        <f>14/2</f>
        <v>7</v>
      </c>
      <c r="O34" s="6">
        <v>120</v>
      </c>
      <c r="P34" s="7">
        <f t="shared" si="12"/>
        <v>12.195121951219512</v>
      </c>
      <c r="Q34" s="6"/>
      <c r="R34" s="7">
        <f t="shared" si="7"/>
        <v>0</v>
      </c>
      <c r="S34" s="8">
        <f t="shared" si="11"/>
        <v>61.595121951219511</v>
      </c>
      <c r="T34" s="6">
        <f t="shared" si="8"/>
        <v>4</v>
      </c>
      <c r="U34" s="6">
        <f t="shared" si="9"/>
        <v>24</v>
      </c>
      <c r="V34" s="13">
        <f t="shared" si="10"/>
        <v>0.66666666666666663</v>
      </c>
    </row>
    <row r="35" spans="1:22" x14ac:dyDescent="0.3">
      <c r="A35" s="5">
        <f t="shared" si="0"/>
        <v>25</v>
      </c>
      <c r="B35" s="6" t="s">
        <v>393</v>
      </c>
      <c r="C35" s="6" t="s">
        <v>391</v>
      </c>
      <c r="D35" s="6" t="s">
        <v>49</v>
      </c>
      <c r="E35" s="6">
        <v>6</v>
      </c>
      <c r="F35" s="7">
        <f>IF(E35=0,,($E$9-E35)*$E$7*100/$E$9)</f>
        <v>28.571428571428573</v>
      </c>
      <c r="G35" s="6"/>
      <c r="H35" s="7">
        <f t="shared" si="2"/>
        <v>0</v>
      </c>
      <c r="I35" s="6"/>
      <c r="J35" s="7">
        <f>IF(I35=0,,($I$9-I35)*$I$7*100/$I$9)</f>
        <v>0</v>
      </c>
      <c r="K35" s="6"/>
      <c r="L35" s="7">
        <f t="shared" si="4"/>
        <v>0</v>
      </c>
      <c r="M35" s="6"/>
      <c r="N35" s="7">
        <f>IF(M35=0,,($M$9-M35)*$M$7*100/$M$9)</f>
        <v>0</v>
      </c>
      <c r="O35" s="14"/>
      <c r="P35" s="7">
        <f t="shared" si="12"/>
        <v>0</v>
      </c>
      <c r="Q35" s="14"/>
      <c r="R35" s="7">
        <f t="shared" si="7"/>
        <v>0</v>
      </c>
      <c r="S35" s="8">
        <f t="shared" si="11"/>
        <v>28.571428571428573</v>
      </c>
      <c r="T35" s="6">
        <f t="shared" si="8"/>
        <v>1</v>
      </c>
      <c r="U35" s="6">
        <f t="shared" si="9"/>
        <v>25</v>
      </c>
      <c r="V35" s="13">
        <f t="shared" si="10"/>
        <v>0.16666666666666666</v>
      </c>
    </row>
    <row r="36" spans="1:22" x14ac:dyDescent="0.3">
      <c r="A36" s="5">
        <f t="shared" si="0"/>
        <v>26</v>
      </c>
      <c r="B36" s="6" t="s">
        <v>446</v>
      </c>
      <c r="C36" s="6" t="s">
        <v>447</v>
      </c>
      <c r="D36" s="6" t="s">
        <v>72</v>
      </c>
      <c r="E36" s="6"/>
      <c r="F36" s="7">
        <f>IF(E36=0,,($E$9-E36)*$E$7*100/$E$9)</f>
        <v>0</v>
      </c>
      <c r="G36" s="6"/>
      <c r="H36" s="7">
        <f t="shared" si="2"/>
        <v>0</v>
      </c>
      <c r="I36" s="6">
        <v>24</v>
      </c>
      <c r="J36" s="7">
        <f>IF(I36=0,,($I$9-I36)*$I$7*100/$I$9)</f>
        <v>12</v>
      </c>
      <c r="K36" s="6"/>
      <c r="L36" s="7">
        <f t="shared" si="4"/>
        <v>0</v>
      </c>
      <c r="M36" s="6"/>
      <c r="N36" s="7">
        <f>IF(M36=0,,($M$9-M36)*$M$7*100/$M$9)</f>
        <v>0</v>
      </c>
      <c r="O36" s="6"/>
      <c r="P36" s="7">
        <f t="shared" si="12"/>
        <v>0</v>
      </c>
      <c r="Q36" s="6"/>
      <c r="R36" s="7">
        <f t="shared" si="7"/>
        <v>0</v>
      </c>
      <c r="S36" s="8">
        <f t="shared" si="11"/>
        <v>12</v>
      </c>
      <c r="T36" s="6">
        <f t="shared" si="8"/>
        <v>1</v>
      </c>
      <c r="U36" s="6">
        <f t="shared" si="9"/>
        <v>26</v>
      </c>
      <c r="V36" s="13">
        <f t="shared" si="10"/>
        <v>0.16666666666666666</v>
      </c>
    </row>
    <row r="37" spans="1:22" x14ac:dyDescent="0.3">
      <c r="A37" s="5">
        <f t="shared" ref="A37:A54" si="13">U37</f>
        <v>27</v>
      </c>
      <c r="B37" s="6"/>
      <c r="C37" s="6"/>
      <c r="D37" s="6"/>
      <c r="E37" s="6"/>
      <c r="F37" s="7">
        <f t="shared" ref="F37:F54" si="14">IF(E37=0,,($E$9-E37)*$E$7*100/$E$9)</f>
        <v>0</v>
      </c>
      <c r="G37" s="6"/>
      <c r="H37" s="7">
        <f t="shared" ref="H37:H50" si="15">IF(G37=0,,($G$9-G37)*$G$7*100/$G$9)</f>
        <v>0</v>
      </c>
      <c r="I37" s="6"/>
      <c r="J37" s="7">
        <f t="shared" ref="J37:J54" si="16">IF(I37=0,,($I$9-I37)*$I$7*100/$I$9)</f>
        <v>0</v>
      </c>
      <c r="K37" s="6"/>
      <c r="L37" s="7">
        <f t="shared" ref="L37:L54" si="17">IF(K37=0,,($K$9-K37)*$K$7*100/$K$9)</f>
        <v>0</v>
      </c>
      <c r="M37" s="6"/>
      <c r="N37" s="7">
        <f t="shared" ref="N37:N54" si="18">IF(M37=0,,($M$9-M37)*$M$7*100/$M$9)</f>
        <v>0</v>
      </c>
      <c r="O37" s="6"/>
      <c r="P37" s="7">
        <f t="shared" ref="P37:P54" si="19">IF(O37=0,,($O$9-O37)*$O$7*100/$O$9)</f>
        <v>0</v>
      </c>
      <c r="Q37" s="6"/>
      <c r="R37" s="7">
        <f t="shared" ref="R37:R54" si="20">IF(Q37=0,,($Q$9-Q37)*$Q$7*100/$Q$9)</f>
        <v>0</v>
      </c>
      <c r="S37" s="8">
        <f t="shared" ref="S37:S54" si="21">P37+R37+L37+N37+J37+H37+F37</f>
        <v>0</v>
      </c>
      <c r="T37" s="6">
        <f t="shared" si="8"/>
        <v>0</v>
      </c>
      <c r="U37" s="6">
        <f t="shared" ref="U37:U54" si="22">ROW(B37)-10</f>
        <v>27</v>
      </c>
      <c r="V37" s="13">
        <f t="shared" si="10"/>
        <v>0</v>
      </c>
    </row>
    <row r="38" spans="1:22" x14ac:dyDescent="0.3">
      <c r="A38" s="5">
        <f t="shared" si="13"/>
        <v>28</v>
      </c>
      <c r="B38" s="6"/>
      <c r="C38" s="6"/>
      <c r="D38" s="6"/>
      <c r="E38" s="6"/>
      <c r="F38" s="7">
        <f t="shared" si="14"/>
        <v>0</v>
      </c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17"/>
        <v>0</v>
      </c>
      <c r="M38" s="6"/>
      <c r="N38" s="7">
        <f t="shared" si="18"/>
        <v>0</v>
      </c>
      <c r="O38" s="6"/>
      <c r="P38" s="7">
        <f t="shared" si="19"/>
        <v>0</v>
      </c>
      <c r="Q38" s="6"/>
      <c r="R38" s="7">
        <f t="shared" si="20"/>
        <v>0</v>
      </c>
      <c r="S38" s="8">
        <f t="shared" si="21"/>
        <v>0</v>
      </c>
      <c r="T38" s="6">
        <f t="shared" si="8"/>
        <v>0</v>
      </c>
      <c r="U38" s="6">
        <f t="shared" si="22"/>
        <v>28</v>
      </c>
      <c r="V38" s="13">
        <f t="shared" si="10"/>
        <v>0</v>
      </c>
    </row>
    <row r="39" spans="1:22" x14ac:dyDescent="0.3">
      <c r="A39" s="5">
        <f t="shared" si="13"/>
        <v>29</v>
      </c>
      <c r="B39" s="6"/>
      <c r="C39" s="6"/>
      <c r="D39" s="6"/>
      <c r="E39" s="6"/>
      <c r="F39" s="7">
        <f t="shared" si="14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17"/>
        <v>0</v>
      </c>
      <c r="M39" s="6"/>
      <c r="N39" s="7">
        <f t="shared" si="18"/>
        <v>0</v>
      </c>
      <c r="O39" s="6"/>
      <c r="P39" s="7">
        <f t="shared" si="19"/>
        <v>0</v>
      </c>
      <c r="Q39" s="6"/>
      <c r="R39" s="7">
        <f t="shared" si="20"/>
        <v>0</v>
      </c>
      <c r="S39" s="8">
        <f t="shared" si="21"/>
        <v>0</v>
      </c>
      <c r="T39" s="6">
        <f t="shared" si="8"/>
        <v>0</v>
      </c>
      <c r="U39" s="6">
        <f t="shared" si="22"/>
        <v>29</v>
      </c>
      <c r="V39" s="13">
        <f t="shared" si="10"/>
        <v>0</v>
      </c>
    </row>
    <row r="40" spans="1:22" x14ac:dyDescent="0.3">
      <c r="A40" s="5">
        <f t="shared" si="13"/>
        <v>30</v>
      </c>
      <c r="B40" s="6"/>
      <c r="C40" s="6"/>
      <c r="D40" s="6"/>
      <c r="E40" s="6"/>
      <c r="F40" s="7">
        <f t="shared" si="14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17"/>
        <v>0</v>
      </c>
      <c r="M40" s="6"/>
      <c r="N40" s="7">
        <f t="shared" si="18"/>
        <v>0</v>
      </c>
      <c r="O40" s="6"/>
      <c r="P40" s="7">
        <f t="shared" si="19"/>
        <v>0</v>
      </c>
      <c r="Q40" s="6"/>
      <c r="R40" s="7">
        <f t="shared" si="20"/>
        <v>0</v>
      </c>
      <c r="S40" s="8">
        <f t="shared" si="21"/>
        <v>0</v>
      </c>
      <c r="T40" s="6">
        <f t="shared" si="8"/>
        <v>0</v>
      </c>
      <c r="U40" s="6">
        <f t="shared" si="22"/>
        <v>30</v>
      </c>
      <c r="V40" s="13">
        <f t="shared" si="10"/>
        <v>0</v>
      </c>
    </row>
    <row r="41" spans="1:22" x14ac:dyDescent="0.3">
      <c r="A41" s="5">
        <f t="shared" si="13"/>
        <v>31</v>
      </c>
      <c r="B41" s="6"/>
      <c r="C41" s="6"/>
      <c r="D41" s="6"/>
      <c r="E41" s="6"/>
      <c r="F41" s="7">
        <f t="shared" si="14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17"/>
        <v>0</v>
      </c>
      <c r="M41" s="6"/>
      <c r="N41" s="7">
        <f t="shared" si="18"/>
        <v>0</v>
      </c>
      <c r="O41" s="6"/>
      <c r="P41" s="7">
        <f t="shared" si="19"/>
        <v>0</v>
      </c>
      <c r="Q41" s="6"/>
      <c r="R41" s="7">
        <f t="shared" si="20"/>
        <v>0</v>
      </c>
      <c r="S41" s="8">
        <f t="shared" si="21"/>
        <v>0</v>
      </c>
      <c r="T41" s="6">
        <f t="shared" si="8"/>
        <v>0</v>
      </c>
      <c r="U41" s="6">
        <f t="shared" si="22"/>
        <v>31</v>
      </c>
      <c r="V41" s="13">
        <f t="shared" si="10"/>
        <v>0</v>
      </c>
    </row>
    <row r="42" spans="1:22" x14ac:dyDescent="0.3">
      <c r="A42" s="5">
        <f t="shared" si="13"/>
        <v>32</v>
      </c>
      <c r="B42" s="6"/>
      <c r="C42" s="6"/>
      <c r="D42" s="6"/>
      <c r="E42" s="6"/>
      <c r="F42" s="7">
        <f t="shared" si="14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17"/>
        <v>0</v>
      </c>
      <c r="M42" s="6"/>
      <c r="N42" s="7">
        <f t="shared" si="18"/>
        <v>0</v>
      </c>
      <c r="O42" s="6"/>
      <c r="P42" s="7">
        <f t="shared" si="19"/>
        <v>0</v>
      </c>
      <c r="Q42" s="6"/>
      <c r="R42" s="7">
        <f t="shared" si="20"/>
        <v>0</v>
      </c>
      <c r="S42" s="8">
        <f t="shared" si="21"/>
        <v>0</v>
      </c>
      <c r="T42" s="6">
        <f t="shared" si="8"/>
        <v>0</v>
      </c>
      <c r="U42" s="6">
        <f t="shared" si="22"/>
        <v>32</v>
      </c>
      <c r="V42" s="13">
        <f t="shared" si="10"/>
        <v>0</v>
      </c>
    </row>
    <row r="43" spans="1:22" x14ac:dyDescent="0.3">
      <c r="A43" s="5">
        <f t="shared" si="13"/>
        <v>33</v>
      </c>
      <c r="B43" s="6"/>
      <c r="C43" s="6"/>
      <c r="D43" s="6"/>
      <c r="E43" s="6"/>
      <c r="F43" s="7">
        <f t="shared" si="14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17"/>
        <v>0</v>
      </c>
      <c r="M43" s="6"/>
      <c r="N43" s="7">
        <f t="shared" si="18"/>
        <v>0</v>
      </c>
      <c r="O43" s="6"/>
      <c r="P43" s="7">
        <f t="shared" si="19"/>
        <v>0</v>
      </c>
      <c r="Q43" s="6"/>
      <c r="R43" s="7">
        <f t="shared" si="20"/>
        <v>0</v>
      </c>
      <c r="S43" s="8">
        <f t="shared" si="21"/>
        <v>0</v>
      </c>
      <c r="T43" s="6">
        <f t="shared" si="8"/>
        <v>0</v>
      </c>
      <c r="U43" s="6">
        <f t="shared" si="22"/>
        <v>33</v>
      </c>
      <c r="V43" s="13">
        <f t="shared" si="10"/>
        <v>0</v>
      </c>
    </row>
    <row r="44" spans="1:22" x14ac:dyDescent="0.3">
      <c r="A44" s="5">
        <f t="shared" si="13"/>
        <v>34</v>
      </c>
      <c r="B44" s="6"/>
      <c r="C44" s="6"/>
      <c r="D44" s="6"/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17"/>
        <v>0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20"/>
        <v>0</v>
      </c>
      <c r="S44" s="8">
        <f t="shared" si="21"/>
        <v>0</v>
      </c>
      <c r="T44" s="6">
        <f t="shared" si="8"/>
        <v>0</v>
      </c>
      <c r="U44" s="6">
        <f t="shared" si="22"/>
        <v>34</v>
      </c>
      <c r="V44" s="13">
        <f t="shared" si="10"/>
        <v>0</v>
      </c>
    </row>
    <row r="45" spans="1:22" x14ac:dyDescent="0.3">
      <c r="A45" s="5">
        <f t="shared" si="13"/>
        <v>35</v>
      </c>
      <c r="B45" s="6"/>
      <c r="C45" s="6"/>
      <c r="D45" s="6"/>
      <c r="E45" s="6"/>
      <c r="F45" s="7">
        <f t="shared" si="14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17"/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20"/>
        <v>0</v>
      </c>
      <c r="S45" s="8">
        <f t="shared" si="21"/>
        <v>0</v>
      </c>
      <c r="T45" s="6">
        <f t="shared" si="8"/>
        <v>0</v>
      </c>
      <c r="U45" s="6">
        <f t="shared" si="22"/>
        <v>35</v>
      </c>
      <c r="V45" s="13">
        <f t="shared" si="10"/>
        <v>0</v>
      </c>
    </row>
    <row r="46" spans="1:22" x14ac:dyDescent="0.3">
      <c r="A46" s="5">
        <f t="shared" si="13"/>
        <v>36</v>
      </c>
      <c r="B46" s="6"/>
      <c r="C46" s="6"/>
      <c r="D46" s="6"/>
      <c r="E46" s="6"/>
      <c r="F46" s="7">
        <f t="shared" si="14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17"/>
        <v>0</v>
      </c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20"/>
        <v>0</v>
      </c>
      <c r="S46" s="8">
        <f t="shared" si="21"/>
        <v>0</v>
      </c>
      <c r="T46" s="6">
        <f t="shared" si="8"/>
        <v>0</v>
      </c>
      <c r="U46" s="6">
        <f t="shared" si="22"/>
        <v>36</v>
      </c>
      <c r="V46" s="13">
        <f t="shared" si="10"/>
        <v>0</v>
      </c>
    </row>
    <row r="47" spans="1:22" x14ac:dyDescent="0.3">
      <c r="A47" s="5">
        <f t="shared" si="13"/>
        <v>37</v>
      </c>
      <c r="B47" s="6"/>
      <c r="C47" s="6"/>
      <c r="D47" s="6"/>
      <c r="E47" s="6"/>
      <c r="F47" s="7">
        <f t="shared" si="14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17"/>
        <v>0</v>
      </c>
      <c r="M47" s="6"/>
      <c r="N47" s="7">
        <f t="shared" si="18"/>
        <v>0</v>
      </c>
      <c r="O47" s="6"/>
      <c r="P47" s="7">
        <f t="shared" si="19"/>
        <v>0</v>
      </c>
      <c r="Q47" s="6"/>
      <c r="R47" s="7">
        <f t="shared" si="20"/>
        <v>0</v>
      </c>
      <c r="S47" s="8">
        <f t="shared" si="21"/>
        <v>0</v>
      </c>
      <c r="T47" s="6">
        <f t="shared" si="8"/>
        <v>0</v>
      </c>
      <c r="U47" s="6">
        <f t="shared" si="22"/>
        <v>37</v>
      </c>
      <c r="V47" s="13">
        <f t="shared" si="10"/>
        <v>0</v>
      </c>
    </row>
    <row r="48" spans="1:22" x14ac:dyDescent="0.3">
      <c r="A48" s="5">
        <f t="shared" si="13"/>
        <v>38</v>
      </c>
      <c r="B48" s="6"/>
      <c r="C48" s="6"/>
      <c r="D48" s="6"/>
      <c r="E48" s="6"/>
      <c r="F48" s="7">
        <f t="shared" si="14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17"/>
        <v>0</v>
      </c>
      <c r="M48" s="6"/>
      <c r="N48" s="7">
        <f t="shared" si="18"/>
        <v>0</v>
      </c>
      <c r="O48" s="6"/>
      <c r="P48" s="7">
        <f t="shared" si="19"/>
        <v>0</v>
      </c>
      <c r="Q48" s="6"/>
      <c r="R48" s="7">
        <f t="shared" si="20"/>
        <v>0</v>
      </c>
      <c r="S48" s="8">
        <f t="shared" si="21"/>
        <v>0</v>
      </c>
      <c r="T48" s="6">
        <f t="shared" si="8"/>
        <v>0</v>
      </c>
      <c r="U48" s="6">
        <f t="shared" si="22"/>
        <v>38</v>
      </c>
      <c r="V48" s="13">
        <f t="shared" si="10"/>
        <v>0</v>
      </c>
    </row>
    <row r="49" spans="1:22" x14ac:dyDescent="0.3">
      <c r="A49" s="5">
        <f t="shared" si="13"/>
        <v>39</v>
      </c>
      <c r="B49" s="6"/>
      <c r="C49" s="6"/>
      <c r="D49" s="6"/>
      <c r="E49" s="6"/>
      <c r="F49" s="7">
        <f t="shared" si="14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17"/>
        <v>0</v>
      </c>
      <c r="M49" s="6"/>
      <c r="N49" s="7">
        <f t="shared" si="18"/>
        <v>0</v>
      </c>
      <c r="O49" s="6"/>
      <c r="P49" s="7">
        <f t="shared" si="19"/>
        <v>0</v>
      </c>
      <c r="Q49" s="6"/>
      <c r="R49" s="7">
        <f t="shared" si="20"/>
        <v>0</v>
      </c>
      <c r="S49" s="8">
        <f t="shared" si="21"/>
        <v>0</v>
      </c>
      <c r="T49" s="6">
        <f t="shared" si="8"/>
        <v>0</v>
      </c>
      <c r="U49" s="6">
        <f t="shared" si="22"/>
        <v>39</v>
      </c>
      <c r="V49" s="13">
        <f t="shared" si="10"/>
        <v>0</v>
      </c>
    </row>
    <row r="50" spans="1:22" x14ac:dyDescent="0.3">
      <c r="A50" s="5">
        <f t="shared" si="13"/>
        <v>40</v>
      </c>
      <c r="B50" s="6"/>
      <c r="C50" s="6"/>
      <c r="D50" s="6"/>
      <c r="E50" s="6"/>
      <c r="F50" s="7">
        <f t="shared" si="14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17"/>
        <v>0</v>
      </c>
      <c r="M50" s="6"/>
      <c r="N50" s="7">
        <f t="shared" si="18"/>
        <v>0</v>
      </c>
      <c r="O50" s="6"/>
      <c r="P50" s="7">
        <f t="shared" si="19"/>
        <v>0</v>
      </c>
      <c r="Q50" s="6"/>
      <c r="R50" s="7">
        <f t="shared" si="20"/>
        <v>0</v>
      </c>
      <c r="S50" s="8">
        <f t="shared" si="21"/>
        <v>0</v>
      </c>
      <c r="T50" s="6">
        <f t="shared" si="8"/>
        <v>0</v>
      </c>
      <c r="U50" s="6">
        <f t="shared" si="22"/>
        <v>40</v>
      </c>
      <c r="V50" s="13">
        <f t="shared" si="10"/>
        <v>0</v>
      </c>
    </row>
    <row r="51" spans="1:22" x14ac:dyDescent="0.3">
      <c r="A51" s="5">
        <f t="shared" si="13"/>
        <v>41</v>
      </c>
      <c r="B51" s="6"/>
      <c r="C51" s="6"/>
      <c r="D51" s="6"/>
      <c r="E51" s="6"/>
      <c r="F51" s="7">
        <f t="shared" si="14"/>
        <v>0</v>
      </c>
      <c r="G51" s="6"/>
      <c r="H51" s="7">
        <f>5/2</f>
        <v>2.5</v>
      </c>
      <c r="I51" s="6"/>
      <c r="J51" s="7">
        <f t="shared" si="16"/>
        <v>0</v>
      </c>
      <c r="K51" s="6"/>
      <c r="L51" s="7">
        <f t="shared" si="17"/>
        <v>0</v>
      </c>
      <c r="M51" s="6"/>
      <c r="N51" s="7">
        <f t="shared" si="18"/>
        <v>0</v>
      </c>
      <c r="O51" s="6"/>
      <c r="P51" s="7">
        <f t="shared" si="19"/>
        <v>0</v>
      </c>
      <c r="Q51" s="6"/>
      <c r="R51" s="7">
        <f t="shared" si="20"/>
        <v>0</v>
      </c>
      <c r="S51" s="8">
        <f t="shared" si="21"/>
        <v>2.5</v>
      </c>
      <c r="T51" s="6">
        <f t="shared" si="8"/>
        <v>0</v>
      </c>
      <c r="U51" s="6">
        <f t="shared" si="22"/>
        <v>41</v>
      </c>
      <c r="V51" s="13">
        <f t="shared" si="10"/>
        <v>0</v>
      </c>
    </row>
    <row r="52" spans="1:22" x14ac:dyDescent="0.3">
      <c r="A52" s="5">
        <f t="shared" si="13"/>
        <v>42</v>
      </c>
      <c r="B52" s="6"/>
      <c r="C52" s="6"/>
      <c r="D52" s="6"/>
      <c r="E52" s="6"/>
      <c r="F52" s="7">
        <f t="shared" si="14"/>
        <v>0</v>
      </c>
      <c r="G52" s="6"/>
      <c r="H52" s="7">
        <f t="shared" ref="H52:H54" si="23">IF(G52=0,,($G$9-G52)*$G$7*100/$G$9)</f>
        <v>0</v>
      </c>
      <c r="I52" s="6"/>
      <c r="J52" s="7">
        <f t="shared" si="16"/>
        <v>0</v>
      </c>
      <c r="K52" s="6"/>
      <c r="L52" s="7">
        <f t="shared" si="17"/>
        <v>0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0"/>
        <v>0</v>
      </c>
      <c r="S52" s="8">
        <f t="shared" si="21"/>
        <v>0</v>
      </c>
      <c r="T52" s="6">
        <f t="shared" si="8"/>
        <v>0</v>
      </c>
      <c r="U52" s="6">
        <f t="shared" si="22"/>
        <v>42</v>
      </c>
      <c r="V52" s="13">
        <f t="shared" si="10"/>
        <v>0</v>
      </c>
    </row>
    <row r="53" spans="1:22" x14ac:dyDescent="0.3">
      <c r="A53" s="5">
        <f t="shared" si="13"/>
        <v>43</v>
      </c>
      <c r="B53" s="6"/>
      <c r="C53" s="6"/>
      <c r="D53" s="6"/>
      <c r="E53" s="6"/>
      <c r="F53" s="7">
        <f t="shared" si="14"/>
        <v>0</v>
      </c>
      <c r="G53" s="6"/>
      <c r="H53" s="7">
        <f t="shared" si="23"/>
        <v>0</v>
      </c>
      <c r="I53" s="6"/>
      <c r="J53" s="7">
        <f t="shared" si="16"/>
        <v>0</v>
      </c>
      <c r="K53" s="6"/>
      <c r="L53" s="7">
        <f t="shared" si="17"/>
        <v>0</v>
      </c>
      <c r="M53" s="6"/>
      <c r="N53" s="7">
        <f t="shared" si="18"/>
        <v>0</v>
      </c>
      <c r="O53" s="6"/>
      <c r="P53" s="7">
        <f t="shared" si="19"/>
        <v>0</v>
      </c>
      <c r="Q53" s="6"/>
      <c r="R53" s="7">
        <f t="shared" si="20"/>
        <v>0</v>
      </c>
      <c r="S53" s="8">
        <f t="shared" si="21"/>
        <v>0</v>
      </c>
      <c r="T53" s="6">
        <f t="shared" si="8"/>
        <v>0</v>
      </c>
      <c r="U53" s="6">
        <f t="shared" si="22"/>
        <v>43</v>
      </c>
      <c r="V53" s="13">
        <f t="shared" si="10"/>
        <v>0</v>
      </c>
    </row>
    <row r="54" spans="1:22" x14ac:dyDescent="0.3">
      <c r="A54" s="5">
        <f t="shared" si="13"/>
        <v>44</v>
      </c>
      <c r="B54" s="6"/>
      <c r="C54" s="6"/>
      <c r="D54" s="6"/>
      <c r="E54" s="6"/>
      <c r="F54" s="7">
        <f t="shared" si="14"/>
        <v>0</v>
      </c>
      <c r="G54" s="6"/>
      <c r="H54" s="7">
        <f t="shared" si="23"/>
        <v>0</v>
      </c>
      <c r="I54" s="6"/>
      <c r="J54" s="7">
        <f t="shared" si="16"/>
        <v>0</v>
      </c>
      <c r="K54" s="6"/>
      <c r="L54" s="7">
        <f t="shared" si="17"/>
        <v>0</v>
      </c>
      <c r="M54" s="6"/>
      <c r="N54" s="7">
        <f t="shared" si="18"/>
        <v>0</v>
      </c>
      <c r="O54" s="6"/>
      <c r="P54" s="7">
        <f t="shared" si="19"/>
        <v>0</v>
      </c>
      <c r="Q54" s="6"/>
      <c r="R54" s="7">
        <f t="shared" si="20"/>
        <v>0</v>
      </c>
      <c r="S54" s="8">
        <f t="shared" si="21"/>
        <v>0</v>
      </c>
      <c r="T54" s="6">
        <f t="shared" si="8"/>
        <v>0</v>
      </c>
      <c r="U54" s="6">
        <f t="shared" si="22"/>
        <v>44</v>
      </c>
      <c r="V54" s="13">
        <f t="shared" si="10"/>
        <v>0</v>
      </c>
    </row>
    <row r="55" spans="1:22" x14ac:dyDescent="0.3">
      <c r="A55" s="27" t="s">
        <v>237</v>
      </c>
      <c r="B55" s="27"/>
      <c r="C55" s="28"/>
      <c r="E55">
        <f>COUNTA(E11:E54)</f>
        <v>7</v>
      </c>
      <c r="G55">
        <f>COUNTA(G11:G54)</f>
        <v>12</v>
      </c>
      <c r="I55">
        <f>COUNTA(I11:I54)</f>
        <v>25</v>
      </c>
      <c r="K55">
        <f>COUNTA(K11:K54)</f>
        <v>18</v>
      </c>
      <c r="M55">
        <f>COUNTA(M11:M54)</f>
        <v>22</v>
      </c>
      <c r="O55">
        <f>COUNTA(O11:O54)</f>
        <v>18</v>
      </c>
      <c r="Q55">
        <f>COUNTA(Q11:Q54)</f>
        <v>0</v>
      </c>
    </row>
    <row r="56" spans="1:22" x14ac:dyDescent="0.3">
      <c r="A56" s="30" t="s">
        <v>35</v>
      </c>
      <c r="B56" s="30"/>
      <c r="C56" s="30"/>
      <c r="E56" s="12">
        <f>E55/$G$2</f>
        <v>0.26923076923076922</v>
      </c>
      <c r="G56" s="12">
        <f>G55/$G$2</f>
        <v>0.46153846153846156</v>
      </c>
      <c r="I56" s="12">
        <f>I55/$G$2</f>
        <v>0.96153846153846156</v>
      </c>
      <c r="K56" s="12">
        <f>K55/$G$2</f>
        <v>0.69230769230769229</v>
      </c>
      <c r="M56" s="12">
        <f>M55/$G$2</f>
        <v>0.84615384615384615</v>
      </c>
      <c r="O56" s="12">
        <f>O55/$G$2</f>
        <v>0.69230769230769229</v>
      </c>
      <c r="Q56" s="12">
        <f>Q55/$G$2</f>
        <v>0</v>
      </c>
    </row>
    <row r="58" spans="1:22" x14ac:dyDescent="0.3">
      <c r="L58" t="s">
        <v>22</v>
      </c>
    </row>
    <row r="59" spans="1:22" x14ac:dyDescent="0.3">
      <c r="L59" t="s">
        <v>22</v>
      </c>
    </row>
    <row r="60" spans="1:22" x14ac:dyDescent="0.3">
      <c r="L60" t="s">
        <v>22</v>
      </c>
    </row>
    <row r="61" spans="1:22" x14ac:dyDescent="0.3">
      <c r="L61" t="s">
        <v>22</v>
      </c>
    </row>
    <row r="62" spans="1:22" x14ac:dyDescent="0.3">
      <c r="L62" t="s">
        <v>22</v>
      </c>
    </row>
    <row r="63" spans="1:22" x14ac:dyDescent="0.3">
      <c r="L63" t="s">
        <v>22</v>
      </c>
    </row>
    <row r="64" spans="1:22" x14ac:dyDescent="0.3">
      <c r="L64" t="s">
        <v>22</v>
      </c>
    </row>
    <row r="65" spans="12:12" x14ac:dyDescent="0.3">
      <c r="L65" t="s">
        <v>22</v>
      </c>
    </row>
    <row r="66" spans="12:12" x14ac:dyDescent="0.3">
      <c r="L66" t="s">
        <v>22</v>
      </c>
    </row>
    <row r="67" spans="12:12" x14ac:dyDescent="0.3">
      <c r="L67" t="s">
        <v>22</v>
      </c>
    </row>
    <row r="68" spans="12:12" x14ac:dyDescent="0.3">
      <c r="L68" t="s">
        <v>22</v>
      </c>
    </row>
    <row r="69" spans="12:12" x14ac:dyDescent="0.3">
      <c r="L69" t="s">
        <v>22</v>
      </c>
    </row>
  </sheetData>
  <sortState xmlns:xlrd2="http://schemas.microsoft.com/office/spreadsheetml/2017/richdata2" ref="A11:V36">
    <sortCondition descending="1" ref="S11:S36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69"/>
  <sheetViews>
    <sheetView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C11" sqref="C11"/>
    </sheetView>
  </sheetViews>
  <sheetFormatPr baseColWidth="10" defaultColWidth="11.44140625" defaultRowHeight="14.4" x14ac:dyDescent="0.3"/>
  <cols>
    <col min="2" max="2" width="18.33203125" bestFit="1" customWidth="1"/>
    <col min="3" max="3" width="19.33203125" customWidth="1"/>
    <col min="5" max="5" width="18.109375" bestFit="1" customWidth="1"/>
    <col min="6" max="6" width="17.44140625" customWidth="1"/>
    <col min="7" max="7" width="6.88671875" customWidth="1"/>
    <col min="8" max="8" width="13.44140625" customWidth="1"/>
    <col min="9" max="9" width="11.44140625" customWidth="1"/>
    <col min="10" max="10" width="18.33203125" customWidth="1"/>
    <col min="11" max="11" width="11.44140625" customWidth="1"/>
    <col min="12" max="12" width="8.6640625" customWidth="1"/>
    <col min="13" max="13" width="9.44140625" customWidth="1"/>
    <col min="14" max="14" width="10.109375" customWidth="1"/>
    <col min="15" max="15" width="10.33203125" customWidth="1"/>
    <col min="16" max="16" width="18.44140625" customWidth="1"/>
    <col min="17" max="17" width="11.44140625" customWidth="1"/>
    <col min="18" max="18" width="18.44140625" customWidth="1"/>
    <col min="19" max="19" width="11.44140625" customWidth="1"/>
    <col min="20" max="20" width="18.44140625" bestFit="1" customWidth="1"/>
    <col min="21" max="21" width="11.44140625" bestFit="1" customWidth="1"/>
    <col min="22" max="22" width="18.33203125" bestFit="1" customWidth="1"/>
    <col min="23" max="23" width="15.88671875" bestFit="1" customWidth="1"/>
    <col min="24" max="24" width="19.6640625" bestFit="1" customWidth="1"/>
  </cols>
  <sheetData>
    <row r="1" spans="1:23" ht="31.2" x14ac:dyDescent="0.6">
      <c r="B1" s="25" t="s">
        <v>565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3" x14ac:dyDescent="0.3">
      <c r="F2" s="31" t="s">
        <v>31</v>
      </c>
      <c r="G2" s="31"/>
      <c r="H2" s="11">
        <f>COUNTA(C11:C54)</f>
        <v>26</v>
      </c>
    </row>
    <row r="3" spans="1:23" x14ac:dyDescent="0.3">
      <c r="F3" s="31" t="s">
        <v>33</v>
      </c>
      <c r="G3" s="31"/>
      <c r="H3" s="11">
        <f>COUNTA(F8:S8)</f>
        <v>7</v>
      </c>
    </row>
    <row r="4" spans="1:23" x14ac:dyDescent="0.3">
      <c r="B4" s="9"/>
      <c r="C4" s="10" t="s">
        <v>23</v>
      </c>
      <c r="D4" s="3"/>
      <c r="E4" s="3"/>
    </row>
    <row r="6" spans="1:23" x14ac:dyDescent="0.3">
      <c r="E6" s="1" t="s">
        <v>0</v>
      </c>
      <c r="F6" s="26" t="s">
        <v>15</v>
      </c>
      <c r="G6" s="26"/>
      <c r="H6" s="26" t="s">
        <v>395</v>
      </c>
      <c r="I6" s="26"/>
      <c r="J6" s="26" t="s">
        <v>304</v>
      </c>
      <c r="K6" s="26"/>
      <c r="L6" s="26" t="s">
        <v>563</v>
      </c>
      <c r="M6" s="26"/>
      <c r="N6" s="26" t="s">
        <v>564</v>
      </c>
      <c r="O6" s="26"/>
      <c r="P6" s="26" t="s">
        <v>44</v>
      </c>
      <c r="Q6" s="26"/>
      <c r="R6" s="26" t="s">
        <v>534</v>
      </c>
      <c r="S6" s="26"/>
    </row>
    <row r="7" spans="1:23" x14ac:dyDescent="0.3">
      <c r="E7" s="1" t="s">
        <v>10</v>
      </c>
      <c r="F7" s="23">
        <v>2</v>
      </c>
      <c r="G7" s="24"/>
      <c r="H7" s="23">
        <v>3</v>
      </c>
      <c r="I7" s="24"/>
      <c r="J7" s="23">
        <v>4</v>
      </c>
      <c r="K7" s="24"/>
      <c r="L7" s="23">
        <v>3</v>
      </c>
      <c r="M7" s="24"/>
      <c r="N7" s="23">
        <v>3</v>
      </c>
      <c r="O7" s="24"/>
      <c r="P7" s="23">
        <v>5</v>
      </c>
      <c r="Q7" s="24"/>
      <c r="R7" s="23">
        <v>6</v>
      </c>
      <c r="S7" s="24"/>
    </row>
    <row r="8" spans="1:23" x14ac:dyDescent="0.3">
      <c r="E8" s="1" t="s">
        <v>1</v>
      </c>
      <c r="F8" s="29">
        <v>45613</v>
      </c>
      <c r="G8" s="29"/>
      <c r="H8" s="29">
        <v>45263</v>
      </c>
      <c r="I8" s="29"/>
      <c r="J8" s="29">
        <v>45326</v>
      </c>
      <c r="K8" s="29"/>
      <c r="L8" s="29">
        <v>45367</v>
      </c>
      <c r="M8" s="29"/>
      <c r="N8" s="29">
        <v>45725</v>
      </c>
      <c r="O8" s="29"/>
      <c r="P8" s="29">
        <v>45375</v>
      </c>
      <c r="Q8" s="29"/>
      <c r="R8" s="29">
        <v>45458</v>
      </c>
      <c r="S8" s="29"/>
      <c r="V8" s="11"/>
    </row>
    <row r="9" spans="1:23" x14ac:dyDescent="0.3">
      <c r="E9" s="1" t="s">
        <v>2</v>
      </c>
      <c r="F9" s="23">
        <v>24</v>
      </c>
      <c r="G9" s="24"/>
      <c r="H9" s="23">
        <v>25</v>
      </c>
      <c r="I9" s="24"/>
      <c r="J9" s="23">
        <v>125</v>
      </c>
      <c r="K9" s="24"/>
      <c r="L9" s="23">
        <v>22</v>
      </c>
      <c r="M9" s="24"/>
      <c r="N9" s="26">
        <v>16</v>
      </c>
      <c r="O9" s="26"/>
      <c r="P9" s="23">
        <v>123</v>
      </c>
      <c r="Q9" s="24"/>
      <c r="R9" s="23"/>
      <c r="S9" s="24"/>
    </row>
    <row r="10" spans="1:23" x14ac:dyDescent="0.3">
      <c r="A10" s="6" t="s">
        <v>572</v>
      </c>
      <c r="B10" s="1" t="s">
        <v>9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/>
      <c r="O10" s="1"/>
      <c r="P10" s="1" t="s">
        <v>6</v>
      </c>
      <c r="Q10" s="1" t="s">
        <v>7</v>
      </c>
      <c r="R10" s="1" t="s">
        <v>6</v>
      </c>
      <c r="S10" s="1" t="s">
        <v>7</v>
      </c>
      <c r="T10" s="1" t="s">
        <v>8</v>
      </c>
      <c r="U10" s="1" t="s">
        <v>9</v>
      </c>
      <c r="V10" s="1" t="s">
        <v>34</v>
      </c>
      <c r="W10" s="1" t="s">
        <v>36</v>
      </c>
    </row>
    <row r="11" spans="1:23" x14ac:dyDescent="0.3">
      <c r="A11" s="19">
        <v>8</v>
      </c>
      <c r="B11" s="5">
        <f t="shared" ref="B11:B36" si="0">U11</f>
        <v>1</v>
      </c>
      <c r="C11" s="6" t="s">
        <v>166</v>
      </c>
      <c r="D11" s="6" t="s">
        <v>103</v>
      </c>
      <c r="E11" s="6" t="s">
        <v>89</v>
      </c>
      <c r="F11" s="6">
        <v>6</v>
      </c>
      <c r="G11" s="7">
        <f t="shared" ref="G11:G36" si="1">IF(F11=0,,($F$9-F11)*$F$7*100/$F$9)</f>
        <v>150</v>
      </c>
      <c r="H11" s="6">
        <v>2</v>
      </c>
      <c r="I11" s="7">
        <f t="shared" ref="I11:I29" si="2">IF(H11=0,,($H$9-H11)*$H$7*100/$H$9)</f>
        <v>276</v>
      </c>
      <c r="J11" s="6">
        <v>8</v>
      </c>
      <c r="K11" s="7">
        <f t="shared" ref="K11:K36" si="3">IF(J11=0,,($J$9-J11)*$J$7*100/$J$9)</f>
        <v>374.4</v>
      </c>
      <c r="L11" s="6">
        <v>1</v>
      </c>
      <c r="M11" s="7">
        <f t="shared" ref="M11:M32" si="4">IF(L11=0,,($L$9-L11)*$L$7*100/$L$9)</f>
        <v>286.36363636363637</v>
      </c>
      <c r="N11" s="6">
        <v>7</v>
      </c>
      <c r="O11" s="7">
        <f t="shared" ref="O11:O36" si="5">IF(N11=0,,($N$9-N11)*$N$7*100/$N$9)</f>
        <v>168.75</v>
      </c>
      <c r="P11" s="6">
        <v>13</v>
      </c>
      <c r="Q11" s="7">
        <f t="shared" ref="Q11:Q30" si="6">IF(P11=0,,($P$9-P11)*$P$7*100/$P$9)</f>
        <v>447.15447154471542</v>
      </c>
      <c r="R11" s="6"/>
      <c r="S11" s="7">
        <f t="shared" ref="S11:S36" si="7">IF(R11=0,,($R$9-R11)*$R$7*100/$R$9)</f>
        <v>0</v>
      </c>
      <c r="T11" s="8">
        <f t="shared" ref="T11:T36" si="8">G11+I11+K11+M11+O11+Q11</f>
        <v>1702.6681079083519</v>
      </c>
      <c r="U11" s="6">
        <f t="shared" ref="U11:U36" si="9">ROW(C11)-10</f>
        <v>1</v>
      </c>
      <c r="V11" s="6">
        <f>COUNTA(F11,H11,J11,L11,R11,P11,#REF!)</f>
        <v>6</v>
      </c>
      <c r="W11" s="13">
        <f t="shared" ref="W11:W36" si="10">V11/$H$3</f>
        <v>0.8571428571428571</v>
      </c>
    </row>
    <row r="12" spans="1:23" x14ac:dyDescent="0.3">
      <c r="A12" s="19">
        <v>19</v>
      </c>
      <c r="B12" s="5">
        <f t="shared" si="0"/>
        <v>2</v>
      </c>
      <c r="C12" s="6" t="s">
        <v>431</v>
      </c>
      <c r="D12" s="6" t="s">
        <v>432</v>
      </c>
      <c r="E12" s="6" t="s">
        <v>58</v>
      </c>
      <c r="F12" s="6">
        <v>1</v>
      </c>
      <c r="G12" s="7">
        <f t="shared" si="1"/>
        <v>191.66666666666666</v>
      </c>
      <c r="H12" s="6">
        <v>3</v>
      </c>
      <c r="I12" s="7">
        <f t="shared" si="2"/>
        <v>264</v>
      </c>
      <c r="J12" s="6">
        <v>21</v>
      </c>
      <c r="K12" s="7">
        <f t="shared" si="3"/>
        <v>332.8</v>
      </c>
      <c r="L12" s="6">
        <v>3</v>
      </c>
      <c r="M12" s="7">
        <f t="shared" si="4"/>
        <v>259.09090909090907</v>
      </c>
      <c r="N12" s="7">
        <v>5</v>
      </c>
      <c r="O12" s="7">
        <f t="shared" si="5"/>
        <v>206.25</v>
      </c>
      <c r="P12" s="6">
        <v>14</v>
      </c>
      <c r="Q12" s="7">
        <f t="shared" si="6"/>
        <v>443.08943089430892</v>
      </c>
      <c r="R12" s="6"/>
      <c r="S12" s="7">
        <f t="shared" si="7"/>
        <v>0</v>
      </c>
      <c r="T12" s="8">
        <f t="shared" si="8"/>
        <v>1696.8970066518846</v>
      </c>
      <c r="U12" s="6">
        <f t="shared" si="9"/>
        <v>2</v>
      </c>
      <c r="V12" s="6">
        <f>COUNTA(F12,H12,J12,L12,R12,P12,#REF!)</f>
        <v>6</v>
      </c>
      <c r="W12" s="13">
        <f t="shared" si="10"/>
        <v>0.8571428571428571</v>
      </c>
    </row>
    <row r="13" spans="1:23" x14ac:dyDescent="0.3">
      <c r="A13" s="19">
        <v>6</v>
      </c>
      <c r="B13" s="5">
        <f t="shared" si="0"/>
        <v>3</v>
      </c>
      <c r="C13" s="6" t="s">
        <v>108</v>
      </c>
      <c r="D13" s="6" t="s">
        <v>109</v>
      </c>
      <c r="E13" s="6" t="s">
        <v>65</v>
      </c>
      <c r="F13" s="6">
        <v>11</v>
      </c>
      <c r="G13" s="7">
        <f t="shared" si="1"/>
        <v>108.33333333333333</v>
      </c>
      <c r="H13" s="6">
        <v>5</v>
      </c>
      <c r="I13" s="7">
        <f t="shared" si="2"/>
        <v>240</v>
      </c>
      <c r="J13" s="6">
        <v>30</v>
      </c>
      <c r="K13" s="7">
        <f t="shared" si="3"/>
        <v>304</v>
      </c>
      <c r="L13" s="6">
        <v>3</v>
      </c>
      <c r="M13" s="7">
        <f t="shared" si="4"/>
        <v>259.09090909090907</v>
      </c>
      <c r="N13" s="7">
        <v>2</v>
      </c>
      <c r="O13" s="7">
        <f t="shared" si="5"/>
        <v>262.5</v>
      </c>
      <c r="P13" s="14">
        <v>3</v>
      </c>
      <c r="Q13" s="7">
        <f t="shared" si="6"/>
        <v>487.80487804878049</v>
      </c>
      <c r="R13" s="14"/>
      <c r="S13" s="7">
        <f t="shared" si="7"/>
        <v>0</v>
      </c>
      <c r="T13" s="8">
        <f t="shared" si="8"/>
        <v>1661.7291204730227</v>
      </c>
      <c r="U13" s="6">
        <f t="shared" si="9"/>
        <v>3</v>
      </c>
      <c r="V13" s="6">
        <f>COUNTA(F13,H13,J13,L13,R13,P13,#REF!)</f>
        <v>6</v>
      </c>
      <c r="W13" s="13">
        <f t="shared" si="10"/>
        <v>0.8571428571428571</v>
      </c>
    </row>
    <row r="14" spans="1:23" x14ac:dyDescent="0.3">
      <c r="A14" s="19">
        <v>38</v>
      </c>
      <c r="B14" s="5">
        <f t="shared" si="0"/>
        <v>4</v>
      </c>
      <c r="C14" s="6" t="s">
        <v>101</v>
      </c>
      <c r="D14" s="6" t="s">
        <v>102</v>
      </c>
      <c r="E14" s="6" t="s">
        <v>72</v>
      </c>
      <c r="F14" s="6">
        <v>4</v>
      </c>
      <c r="G14" s="7">
        <f t="shared" si="1"/>
        <v>166.66666666666666</v>
      </c>
      <c r="H14" s="6">
        <v>6</v>
      </c>
      <c r="I14" s="7">
        <f t="shared" si="2"/>
        <v>228</v>
      </c>
      <c r="J14" s="6">
        <v>36</v>
      </c>
      <c r="K14" s="7">
        <f t="shared" si="3"/>
        <v>284.8</v>
      </c>
      <c r="L14" s="6">
        <v>6</v>
      </c>
      <c r="M14" s="7">
        <f t="shared" si="4"/>
        <v>218.18181818181819</v>
      </c>
      <c r="N14" s="7">
        <v>3</v>
      </c>
      <c r="O14" s="7">
        <f t="shared" si="5"/>
        <v>243.75</v>
      </c>
      <c r="P14" s="14">
        <v>37</v>
      </c>
      <c r="Q14" s="7">
        <f t="shared" si="6"/>
        <v>349.59349593495932</v>
      </c>
      <c r="R14" s="14"/>
      <c r="S14" s="7">
        <f t="shared" si="7"/>
        <v>0</v>
      </c>
      <c r="T14" s="8">
        <f t="shared" si="8"/>
        <v>1490.9919807834442</v>
      </c>
      <c r="U14" s="6">
        <f t="shared" si="9"/>
        <v>4</v>
      </c>
      <c r="V14" s="6">
        <f>COUNTA(F14,H14,J14,L14,R14,P14,#REF!)</f>
        <v>6</v>
      </c>
      <c r="W14" s="13">
        <f t="shared" si="10"/>
        <v>0.8571428571428571</v>
      </c>
    </row>
    <row r="15" spans="1:23" x14ac:dyDescent="0.3">
      <c r="A15" s="19">
        <v>32</v>
      </c>
      <c r="B15" s="5">
        <f t="shared" si="0"/>
        <v>5</v>
      </c>
      <c r="C15" s="6" t="s">
        <v>93</v>
      </c>
      <c r="D15" s="6" t="s">
        <v>433</v>
      </c>
      <c r="E15" s="6" t="s">
        <v>65</v>
      </c>
      <c r="F15" s="6">
        <v>3</v>
      </c>
      <c r="G15" s="7">
        <f t="shared" si="1"/>
        <v>175</v>
      </c>
      <c r="H15" s="6">
        <v>7</v>
      </c>
      <c r="I15" s="7">
        <f t="shared" si="2"/>
        <v>216</v>
      </c>
      <c r="J15" s="6">
        <v>25</v>
      </c>
      <c r="K15" s="7">
        <f t="shared" si="3"/>
        <v>320</v>
      </c>
      <c r="L15" s="6">
        <v>5</v>
      </c>
      <c r="M15" s="7">
        <f t="shared" si="4"/>
        <v>231.81818181818181</v>
      </c>
      <c r="N15" s="7">
        <v>9</v>
      </c>
      <c r="O15" s="7">
        <f t="shared" si="5"/>
        <v>131.25</v>
      </c>
      <c r="P15" s="6">
        <v>32</v>
      </c>
      <c r="Q15" s="7">
        <f t="shared" si="6"/>
        <v>369.91869918699189</v>
      </c>
      <c r="R15" s="6"/>
      <c r="S15" s="7">
        <f t="shared" si="7"/>
        <v>0</v>
      </c>
      <c r="T15" s="8">
        <f t="shared" si="8"/>
        <v>1443.9868810051737</v>
      </c>
      <c r="U15" s="6">
        <f t="shared" si="9"/>
        <v>5</v>
      </c>
      <c r="V15" s="6">
        <f>COUNTA(F15,H15,J15,L15,R15,P15,#REF!)</f>
        <v>6</v>
      </c>
      <c r="W15" s="13">
        <f t="shared" si="10"/>
        <v>0.8571428571428571</v>
      </c>
    </row>
    <row r="16" spans="1:23" x14ac:dyDescent="0.3">
      <c r="A16" s="19">
        <v>13</v>
      </c>
      <c r="B16" s="5">
        <f t="shared" si="0"/>
        <v>6</v>
      </c>
      <c r="C16" s="6" t="s">
        <v>99</v>
      </c>
      <c r="D16" s="6" t="s">
        <v>100</v>
      </c>
      <c r="E16" s="6" t="s">
        <v>58</v>
      </c>
      <c r="F16" s="6">
        <v>8</v>
      </c>
      <c r="G16" s="7">
        <f t="shared" si="1"/>
        <v>133.33333333333334</v>
      </c>
      <c r="H16" s="6">
        <v>1</v>
      </c>
      <c r="I16" s="7">
        <f t="shared" si="2"/>
        <v>288</v>
      </c>
      <c r="J16" s="6">
        <v>37</v>
      </c>
      <c r="K16" s="7">
        <f t="shared" si="3"/>
        <v>281.60000000000002</v>
      </c>
      <c r="L16" s="6">
        <v>2</v>
      </c>
      <c r="M16" s="7">
        <f t="shared" si="4"/>
        <v>272.72727272727275</v>
      </c>
      <c r="N16" s="7"/>
      <c r="O16" s="7">
        <f t="shared" si="5"/>
        <v>0</v>
      </c>
      <c r="P16" s="6">
        <v>9</v>
      </c>
      <c r="Q16" s="7">
        <f t="shared" si="6"/>
        <v>463.41463414634148</v>
      </c>
      <c r="R16" s="6"/>
      <c r="S16" s="7">
        <f t="shared" si="7"/>
        <v>0</v>
      </c>
      <c r="T16" s="8">
        <f t="shared" si="8"/>
        <v>1439.0752402069477</v>
      </c>
      <c r="U16" s="6">
        <f t="shared" si="9"/>
        <v>6</v>
      </c>
      <c r="V16" s="6">
        <f>COUNTA(F16,H16,J16,L16,R16,P16,#REF!)</f>
        <v>6</v>
      </c>
      <c r="W16" s="13">
        <f t="shared" si="10"/>
        <v>0.8571428571428571</v>
      </c>
    </row>
    <row r="17" spans="1:23" x14ac:dyDescent="0.3">
      <c r="A17" s="19">
        <v>28</v>
      </c>
      <c r="B17" s="5">
        <f t="shared" si="0"/>
        <v>7</v>
      </c>
      <c r="C17" s="6" t="s">
        <v>106</v>
      </c>
      <c r="D17" s="6" t="s">
        <v>441</v>
      </c>
      <c r="E17" s="6" t="s">
        <v>65</v>
      </c>
      <c r="F17" s="6">
        <v>5</v>
      </c>
      <c r="G17" s="7">
        <f t="shared" si="1"/>
        <v>158.33333333333334</v>
      </c>
      <c r="H17" s="6">
        <v>3</v>
      </c>
      <c r="I17" s="7">
        <f t="shared" si="2"/>
        <v>264</v>
      </c>
      <c r="J17" s="6">
        <v>20</v>
      </c>
      <c r="K17" s="7">
        <f t="shared" si="3"/>
        <v>336</v>
      </c>
      <c r="L17" s="6">
        <v>7</v>
      </c>
      <c r="M17" s="7">
        <f t="shared" si="4"/>
        <v>204.54545454545453</v>
      </c>
      <c r="N17" s="7">
        <v>10</v>
      </c>
      <c r="O17" s="7">
        <f t="shared" si="5"/>
        <v>112.5</v>
      </c>
      <c r="P17" s="6">
        <v>38</v>
      </c>
      <c r="Q17" s="7">
        <f t="shared" si="6"/>
        <v>345.52845528455282</v>
      </c>
      <c r="R17" s="6"/>
      <c r="S17" s="7">
        <f t="shared" si="7"/>
        <v>0</v>
      </c>
      <c r="T17" s="8">
        <f t="shared" si="8"/>
        <v>1420.9072431633408</v>
      </c>
      <c r="U17" s="6">
        <f t="shared" si="9"/>
        <v>7</v>
      </c>
      <c r="V17" s="6">
        <f>COUNTA(F17,H17,J17,L17,R17,P17,#REF!)</f>
        <v>6</v>
      </c>
      <c r="W17" s="13">
        <f t="shared" si="10"/>
        <v>0.8571428571428571</v>
      </c>
    </row>
    <row r="18" spans="1:23" x14ac:dyDescent="0.3">
      <c r="B18" s="5">
        <f t="shared" si="0"/>
        <v>8</v>
      </c>
      <c r="C18" s="6" t="s">
        <v>198</v>
      </c>
      <c r="D18" s="6" t="s">
        <v>199</v>
      </c>
      <c r="E18" s="6" t="s">
        <v>252</v>
      </c>
      <c r="F18" s="6">
        <v>12</v>
      </c>
      <c r="G18" s="7">
        <f t="shared" si="1"/>
        <v>100</v>
      </c>
      <c r="H18" s="6">
        <v>8</v>
      </c>
      <c r="I18" s="7">
        <f t="shared" si="2"/>
        <v>204</v>
      </c>
      <c r="J18" s="6">
        <v>43</v>
      </c>
      <c r="K18" s="7">
        <f t="shared" si="3"/>
        <v>262.39999999999998</v>
      </c>
      <c r="L18" s="6">
        <v>11</v>
      </c>
      <c r="M18" s="7">
        <f t="shared" si="4"/>
        <v>150</v>
      </c>
      <c r="N18" s="7"/>
      <c r="O18" s="7">
        <f t="shared" si="5"/>
        <v>0</v>
      </c>
      <c r="P18" s="6">
        <v>74</v>
      </c>
      <c r="Q18" s="7">
        <f t="shared" si="6"/>
        <v>199.1869918699187</v>
      </c>
      <c r="R18" s="6"/>
      <c r="S18" s="7">
        <f t="shared" si="7"/>
        <v>0</v>
      </c>
      <c r="T18" s="8">
        <f t="shared" si="8"/>
        <v>915.58699186991862</v>
      </c>
      <c r="U18" s="6">
        <f t="shared" si="9"/>
        <v>8</v>
      </c>
      <c r="V18" s="6">
        <f>COUNTA(F18,H18,J18,L18,R18,P18,#REF!)</f>
        <v>6</v>
      </c>
      <c r="W18" s="13">
        <f t="shared" si="10"/>
        <v>0.8571428571428571</v>
      </c>
    </row>
    <row r="19" spans="1:23" x14ac:dyDescent="0.3">
      <c r="B19" s="5">
        <f t="shared" si="0"/>
        <v>9</v>
      </c>
      <c r="C19" s="6" t="s">
        <v>388</v>
      </c>
      <c r="D19" s="6" t="s">
        <v>389</v>
      </c>
      <c r="E19" s="6" t="s">
        <v>89</v>
      </c>
      <c r="F19" s="6"/>
      <c r="G19" s="7">
        <f t="shared" si="1"/>
        <v>0</v>
      </c>
      <c r="H19" s="6">
        <v>9</v>
      </c>
      <c r="I19" s="7">
        <f t="shared" si="2"/>
        <v>192</v>
      </c>
      <c r="J19" s="6">
        <v>49</v>
      </c>
      <c r="K19" s="7">
        <f t="shared" si="3"/>
        <v>243.2</v>
      </c>
      <c r="L19" s="6">
        <v>10</v>
      </c>
      <c r="M19" s="7">
        <f t="shared" si="4"/>
        <v>163.63636363636363</v>
      </c>
      <c r="N19" s="7"/>
      <c r="O19" s="7">
        <f t="shared" si="5"/>
        <v>0</v>
      </c>
      <c r="P19" s="14">
        <v>63</v>
      </c>
      <c r="Q19" s="7">
        <f t="shared" si="6"/>
        <v>243.90243902439025</v>
      </c>
      <c r="R19" s="14"/>
      <c r="S19" s="7">
        <f t="shared" si="7"/>
        <v>0</v>
      </c>
      <c r="T19" s="8">
        <f t="shared" si="8"/>
        <v>842.73880266075378</v>
      </c>
      <c r="U19" s="6">
        <f t="shared" si="9"/>
        <v>9</v>
      </c>
      <c r="V19" s="6">
        <f>COUNTA(F19,H19,J19,L19,R19,P19,#REF!)</f>
        <v>5</v>
      </c>
      <c r="W19" s="13">
        <f t="shared" si="10"/>
        <v>0.7142857142857143</v>
      </c>
    </row>
    <row r="20" spans="1:23" x14ac:dyDescent="0.3">
      <c r="B20" s="5">
        <f t="shared" si="0"/>
        <v>10</v>
      </c>
      <c r="C20" s="6" t="s">
        <v>95</v>
      </c>
      <c r="D20" s="6" t="s">
        <v>96</v>
      </c>
      <c r="E20" s="6" t="s">
        <v>72</v>
      </c>
      <c r="F20" s="6">
        <v>7</v>
      </c>
      <c r="G20" s="7">
        <f t="shared" si="1"/>
        <v>141.66666666666666</v>
      </c>
      <c r="H20" s="6">
        <v>16</v>
      </c>
      <c r="I20" s="7">
        <f t="shared" si="2"/>
        <v>108</v>
      </c>
      <c r="J20" s="6">
        <v>63</v>
      </c>
      <c r="K20" s="7">
        <f t="shared" si="3"/>
        <v>198.4</v>
      </c>
      <c r="L20" s="6">
        <v>9</v>
      </c>
      <c r="M20" s="7">
        <f t="shared" si="4"/>
        <v>177.27272727272728</v>
      </c>
      <c r="N20" s="7">
        <v>12</v>
      </c>
      <c r="O20" s="7">
        <f t="shared" si="5"/>
        <v>75</v>
      </c>
      <c r="P20" s="14">
        <v>88</v>
      </c>
      <c r="Q20" s="7">
        <f t="shared" si="6"/>
        <v>142.27642276422765</v>
      </c>
      <c r="R20" s="14"/>
      <c r="S20" s="7">
        <f t="shared" si="7"/>
        <v>0</v>
      </c>
      <c r="T20" s="8">
        <f t="shared" si="8"/>
        <v>842.61581670362159</v>
      </c>
      <c r="U20" s="6">
        <f t="shared" si="9"/>
        <v>10</v>
      </c>
      <c r="V20" s="6">
        <f>COUNTA(F20,H20,J20,L20,R20,P20,#REF!)</f>
        <v>6</v>
      </c>
      <c r="W20" s="13">
        <f t="shared" si="10"/>
        <v>0.8571428571428571</v>
      </c>
    </row>
    <row r="21" spans="1:23" x14ac:dyDescent="0.3">
      <c r="B21" s="5">
        <f t="shared" si="0"/>
        <v>11</v>
      </c>
      <c r="C21" s="6" t="s">
        <v>245</v>
      </c>
      <c r="D21" s="6" t="s">
        <v>98</v>
      </c>
      <c r="E21" s="6" t="s">
        <v>65</v>
      </c>
      <c r="F21" s="6">
        <v>19</v>
      </c>
      <c r="G21" s="7">
        <f t="shared" si="1"/>
        <v>41.666666666666664</v>
      </c>
      <c r="H21" s="6">
        <v>12</v>
      </c>
      <c r="I21" s="7">
        <f t="shared" si="2"/>
        <v>156</v>
      </c>
      <c r="J21" s="6">
        <v>77</v>
      </c>
      <c r="K21" s="7">
        <f t="shared" si="3"/>
        <v>153.6</v>
      </c>
      <c r="L21" s="6">
        <v>12</v>
      </c>
      <c r="M21" s="7">
        <f t="shared" si="4"/>
        <v>136.36363636363637</v>
      </c>
      <c r="N21" s="7">
        <v>13</v>
      </c>
      <c r="O21" s="7">
        <f t="shared" si="5"/>
        <v>56.25</v>
      </c>
      <c r="P21" s="6">
        <v>83</v>
      </c>
      <c r="Q21" s="7">
        <f t="shared" si="6"/>
        <v>162.60162601626016</v>
      </c>
      <c r="R21" s="6"/>
      <c r="S21" s="7">
        <f t="shared" si="7"/>
        <v>0</v>
      </c>
      <c r="T21" s="8">
        <f t="shared" si="8"/>
        <v>706.48192904656321</v>
      </c>
      <c r="U21" s="6">
        <f t="shared" si="9"/>
        <v>11</v>
      </c>
      <c r="V21" s="6">
        <f>COUNTA(F21,H21,J21,L21,R21,P21,#REF!)</f>
        <v>6</v>
      </c>
      <c r="W21" s="13">
        <f t="shared" si="10"/>
        <v>0.8571428571428571</v>
      </c>
    </row>
    <row r="22" spans="1:23" x14ac:dyDescent="0.3">
      <c r="B22" s="5">
        <f t="shared" si="0"/>
        <v>12</v>
      </c>
      <c r="C22" s="6" t="s">
        <v>392</v>
      </c>
      <c r="D22" s="6" t="s">
        <v>390</v>
      </c>
      <c r="E22" s="6" t="s">
        <v>89</v>
      </c>
      <c r="F22" s="6"/>
      <c r="G22" s="7">
        <f t="shared" si="1"/>
        <v>0</v>
      </c>
      <c r="H22" s="6">
        <v>13</v>
      </c>
      <c r="I22" s="7">
        <f t="shared" si="2"/>
        <v>144</v>
      </c>
      <c r="J22" s="6">
        <v>85</v>
      </c>
      <c r="K22" s="7">
        <f t="shared" si="3"/>
        <v>128</v>
      </c>
      <c r="L22" s="6">
        <v>14</v>
      </c>
      <c r="M22" s="7">
        <f t="shared" si="4"/>
        <v>109.09090909090909</v>
      </c>
      <c r="N22" s="7"/>
      <c r="O22" s="7">
        <f t="shared" si="5"/>
        <v>0</v>
      </c>
      <c r="P22" s="14">
        <v>85</v>
      </c>
      <c r="Q22" s="7">
        <f t="shared" si="6"/>
        <v>154.47154471544715</v>
      </c>
      <c r="R22" s="14"/>
      <c r="S22" s="7">
        <f t="shared" si="7"/>
        <v>0</v>
      </c>
      <c r="T22" s="8">
        <f t="shared" si="8"/>
        <v>535.5624538063563</v>
      </c>
      <c r="U22" s="6">
        <f t="shared" si="9"/>
        <v>12</v>
      </c>
      <c r="V22" s="6">
        <f>COUNTA(F22,H22,J22,L22,R22,P22,#REF!)</f>
        <v>5</v>
      </c>
      <c r="W22" s="13">
        <f t="shared" si="10"/>
        <v>0.7142857142857143</v>
      </c>
    </row>
    <row r="23" spans="1:23" x14ac:dyDescent="0.3">
      <c r="B23" s="5">
        <f t="shared" si="0"/>
        <v>13</v>
      </c>
      <c r="C23" s="6" t="s">
        <v>165</v>
      </c>
      <c r="D23" s="6" t="s">
        <v>442</v>
      </c>
      <c r="E23" s="6" t="s">
        <v>48</v>
      </c>
      <c r="F23" s="6"/>
      <c r="G23" s="7">
        <f t="shared" si="1"/>
        <v>0</v>
      </c>
      <c r="H23" s="6">
        <v>15</v>
      </c>
      <c r="I23" s="7">
        <f t="shared" si="2"/>
        <v>120</v>
      </c>
      <c r="J23" s="6">
        <v>83</v>
      </c>
      <c r="K23" s="7">
        <f t="shared" si="3"/>
        <v>134.4</v>
      </c>
      <c r="L23" s="6">
        <v>13</v>
      </c>
      <c r="M23" s="7">
        <f t="shared" si="4"/>
        <v>122.72727272727273</v>
      </c>
      <c r="N23" s="7"/>
      <c r="O23" s="7">
        <f t="shared" si="5"/>
        <v>0</v>
      </c>
      <c r="P23" s="6">
        <v>95</v>
      </c>
      <c r="Q23" s="7">
        <f t="shared" si="6"/>
        <v>113.82113821138212</v>
      </c>
      <c r="R23" s="6"/>
      <c r="S23" s="7">
        <f t="shared" si="7"/>
        <v>0</v>
      </c>
      <c r="T23" s="8">
        <f t="shared" si="8"/>
        <v>490.94841093865483</v>
      </c>
      <c r="U23" s="6">
        <f t="shared" si="9"/>
        <v>13</v>
      </c>
      <c r="V23" s="6">
        <f>COUNTA(F23,H23,J23,L23,R23,P23,#REF!)</f>
        <v>5</v>
      </c>
      <c r="W23" s="13">
        <f t="shared" si="10"/>
        <v>0.7142857142857143</v>
      </c>
    </row>
    <row r="24" spans="1:23" x14ac:dyDescent="0.3">
      <c r="B24" s="5">
        <f t="shared" si="0"/>
        <v>14</v>
      </c>
      <c r="C24" s="6" t="s">
        <v>330</v>
      </c>
      <c r="D24" s="6" t="s">
        <v>331</v>
      </c>
      <c r="E24" s="6" t="s">
        <v>65</v>
      </c>
      <c r="F24" s="6">
        <v>15</v>
      </c>
      <c r="G24" s="7">
        <f t="shared" si="1"/>
        <v>75</v>
      </c>
      <c r="H24" s="6">
        <v>10</v>
      </c>
      <c r="I24" s="7">
        <f t="shared" si="2"/>
        <v>180</v>
      </c>
      <c r="J24" s="6"/>
      <c r="K24" s="7">
        <f t="shared" si="3"/>
        <v>0</v>
      </c>
      <c r="L24" s="6">
        <v>8</v>
      </c>
      <c r="M24" s="7">
        <f t="shared" si="4"/>
        <v>190.90909090909091</v>
      </c>
      <c r="N24" s="7"/>
      <c r="O24" s="7">
        <f t="shared" si="5"/>
        <v>0</v>
      </c>
      <c r="P24" s="6"/>
      <c r="Q24" s="7">
        <f t="shared" si="6"/>
        <v>0</v>
      </c>
      <c r="R24" s="6"/>
      <c r="S24" s="7">
        <f t="shared" si="7"/>
        <v>0</v>
      </c>
      <c r="T24" s="8">
        <f t="shared" si="8"/>
        <v>445.90909090909088</v>
      </c>
      <c r="U24" s="6">
        <f t="shared" si="9"/>
        <v>14</v>
      </c>
      <c r="V24" s="6">
        <f>COUNTA(F24,H24,J24,L24,R24,P24,#REF!)</f>
        <v>4</v>
      </c>
      <c r="W24" s="13">
        <f t="shared" si="10"/>
        <v>0.5714285714285714</v>
      </c>
    </row>
    <row r="25" spans="1:23" x14ac:dyDescent="0.3">
      <c r="B25" s="5">
        <f t="shared" si="0"/>
        <v>15</v>
      </c>
      <c r="C25" s="6" t="s">
        <v>374</v>
      </c>
      <c r="D25" s="6" t="s">
        <v>375</v>
      </c>
      <c r="E25" s="6" t="s">
        <v>129</v>
      </c>
      <c r="F25" s="6"/>
      <c r="G25" s="7">
        <f t="shared" si="1"/>
        <v>0</v>
      </c>
      <c r="H25" s="6">
        <v>17</v>
      </c>
      <c r="I25" s="7">
        <f t="shared" si="2"/>
        <v>96</v>
      </c>
      <c r="J25" s="6">
        <v>78</v>
      </c>
      <c r="K25" s="7">
        <f t="shared" si="3"/>
        <v>150.4</v>
      </c>
      <c r="L25" s="6">
        <v>18</v>
      </c>
      <c r="M25" s="7">
        <f t="shared" si="4"/>
        <v>54.545454545454547</v>
      </c>
      <c r="N25" s="7"/>
      <c r="O25" s="7">
        <f t="shared" si="5"/>
        <v>0</v>
      </c>
      <c r="P25" s="6">
        <v>116</v>
      </c>
      <c r="Q25" s="7">
        <f t="shared" si="6"/>
        <v>28.45528455284553</v>
      </c>
      <c r="R25" s="6"/>
      <c r="S25" s="7">
        <f t="shared" si="7"/>
        <v>0</v>
      </c>
      <c r="T25" s="8">
        <f t="shared" si="8"/>
        <v>329.40073909830005</v>
      </c>
      <c r="U25" s="6">
        <f t="shared" si="9"/>
        <v>15</v>
      </c>
      <c r="V25" s="6">
        <f>COUNTA(F25,H25,J25,L25,R25,P25,#REF!)</f>
        <v>5</v>
      </c>
      <c r="W25" s="13">
        <f t="shared" si="10"/>
        <v>0.7142857142857143</v>
      </c>
    </row>
    <row r="26" spans="1:23" x14ac:dyDescent="0.3">
      <c r="B26" s="5">
        <f t="shared" si="0"/>
        <v>16</v>
      </c>
      <c r="C26" s="6" t="s">
        <v>333</v>
      </c>
      <c r="D26" s="6" t="s">
        <v>148</v>
      </c>
      <c r="E26" s="6" t="s">
        <v>65</v>
      </c>
      <c r="F26" s="6">
        <v>23</v>
      </c>
      <c r="G26" s="7">
        <f t="shared" si="1"/>
        <v>8.3333333333333339</v>
      </c>
      <c r="H26" s="6">
        <v>14</v>
      </c>
      <c r="I26" s="7">
        <f t="shared" si="2"/>
        <v>132</v>
      </c>
      <c r="J26" s="6">
        <v>116</v>
      </c>
      <c r="K26" s="7">
        <f t="shared" si="3"/>
        <v>28.8</v>
      </c>
      <c r="L26" s="6">
        <v>15</v>
      </c>
      <c r="M26" s="7">
        <f t="shared" si="4"/>
        <v>95.454545454545453</v>
      </c>
      <c r="N26" s="7"/>
      <c r="O26" s="7">
        <f t="shared" si="5"/>
        <v>0</v>
      </c>
      <c r="P26" s="6">
        <v>118</v>
      </c>
      <c r="Q26" s="7">
        <f t="shared" si="6"/>
        <v>20.325203252032519</v>
      </c>
      <c r="R26" s="6"/>
      <c r="S26" s="7">
        <f t="shared" si="7"/>
        <v>0</v>
      </c>
      <c r="T26" s="8">
        <f t="shared" si="8"/>
        <v>284.91308203991133</v>
      </c>
      <c r="U26" s="6">
        <f t="shared" si="9"/>
        <v>16</v>
      </c>
      <c r="V26" s="6">
        <f>COUNTA(F26,H26,J26,L26,R26,P26,#REF!)</f>
        <v>6</v>
      </c>
      <c r="W26" s="13">
        <f t="shared" si="10"/>
        <v>0.8571428571428571</v>
      </c>
    </row>
    <row r="27" spans="1:23" x14ac:dyDescent="0.3">
      <c r="B27" s="5">
        <f t="shared" si="0"/>
        <v>17</v>
      </c>
      <c r="C27" s="6" t="s">
        <v>144</v>
      </c>
      <c r="D27" s="6" t="s">
        <v>145</v>
      </c>
      <c r="E27" s="6" t="s">
        <v>252</v>
      </c>
      <c r="F27" s="6"/>
      <c r="G27" s="7">
        <f t="shared" si="1"/>
        <v>0</v>
      </c>
      <c r="H27" s="6">
        <v>11</v>
      </c>
      <c r="I27" s="7">
        <f t="shared" si="2"/>
        <v>168</v>
      </c>
      <c r="J27" s="6"/>
      <c r="K27" s="7">
        <f t="shared" si="3"/>
        <v>0</v>
      </c>
      <c r="L27" s="6">
        <v>16</v>
      </c>
      <c r="M27" s="7">
        <f t="shared" si="4"/>
        <v>81.818181818181813</v>
      </c>
      <c r="N27" s="7"/>
      <c r="O27" s="7">
        <f t="shared" si="5"/>
        <v>0</v>
      </c>
      <c r="P27" s="6"/>
      <c r="Q27" s="7">
        <f t="shared" si="6"/>
        <v>0</v>
      </c>
      <c r="R27" s="6"/>
      <c r="S27" s="7">
        <f t="shared" si="7"/>
        <v>0</v>
      </c>
      <c r="T27" s="8">
        <f t="shared" si="8"/>
        <v>249.81818181818181</v>
      </c>
      <c r="U27" s="6">
        <f t="shared" si="9"/>
        <v>17</v>
      </c>
      <c r="V27" s="6">
        <f>COUNTA(F27,H27,J27,L27,R27,P27,#REF!)</f>
        <v>3</v>
      </c>
      <c r="W27" s="13">
        <f t="shared" si="10"/>
        <v>0.42857142857142855</v>
      </c>
    </row>
    <row r="28" spans="1:23" x14ac:dyDescent="0.3">
      <c r="B28" s="5">
        <f t="shared" si="0"/>
        <v>18</v>
      </c>
      <c r="C28" s="6" t="s">
        <v>379</v>
      </c>
      <c r="D28" s="6" t="s">
        <v>380</v>
      </c>
      <c r="E28" s="6" t="s">
        <v>378</v>
      </c>
      <c r="F28" s="6"/>
      <c r="G28" s="7">
        <f t="shared" si="1"/>
        <v>0</v>
      </c>
      <c r="H28" s="6">
        <v>23</v>
      </c>
      <c r="I28" s="7">
        <f t="shared" si="2"/>
        <v>24</v>
      </c>
      <c r="J28" s="6">
        <v>107</v>
      </c>
      <c r="K28" s="7">
        <f t="shared" si="3"/>
        <v>57.6</v>
      </c>
      <c r="L28" s="6">
        <v>20</v>
      </c>
      <c r="M28" s="7">
        <f t="shared" si="4"/>
        <v>27.272727272727273</v>
      </c>
      <c r="N28" s="7"/>
      <c r="O28" s="7">
        <f t="shared" si="5"/>
        <v>0</v>
      </c>
      <c r="P28" s="6">
        <v>102</v>
      </c>
      <c r="Q28" s="7">
        <f t="shared" si="6"/>
        <v>85.365853658536579</v>
      </c>
      <c r="R28" s="6"/>
      <c r="S28" s="7">
        <f t="shared" si="7"/>
        <v>0</v>
      </c>
      <c r="T28" s="8">
        <f t="shared" si="8"/>
        <v>194.23858093126387</v>
      </c>
      <c r="U28" s="6">
        <f t="shared" si="9"/>
        <v>18</v>
      </c>
      <c r="V28" s="6">
        <f>COUNTA(F28,H28,J28,L28,R28,P28,#REF!)</f>
        <v>5</v>
      </c>
      <c r="W28" s="13">
        <f t="shared" si="10"/>
        <v>0.7142857142857143</v>
      </c>
    </row>
    <row r="29" spans="1:23" x14ac:dyDescent="0.3">
      <c r="B29" s="5">
        <f t="shared" si="0"/>
        <v>19</v>
      </c>
      <c r="C29" s="6" t="s">
        <v>443</v>
      </c>
      <c r="D29" s="6" t="s">
        <v>444</v>
      </c>
      <c r="E29" s="6" t="s">
        <v>252</v>
      </c>
      <c r="F29" s="6"/>
      <c r="G29" s="7">
        <f t="shared" si="1"/>
        <v>0</v>
      </c>
      <c r="H29" s="6">
        <v>19</v>
      </c>
      <c r="I29" s="7">
        <f t="shared" si="2"/>
        <v>72</v>
      </c>
      <c r="J29" s="6"/>
      <c r="K29" s="7">
        <f t="shared" si="3"/>
        <v>0</v>
      </c>
      <c r="L29" s="6">
        <v>17</v>
      </c>
      <c r="M29" s="7">
        <f t="shared" si="4"/>
        <v>68.181818181818187</v>
      </c>
      <c r="N29" s="7"/>
      <c r="O29" s="7">
        <f t="shared" si="5"/>
        <v>0</v>
      </c>
      <c r="P29" s="6"/>
      <c r="Q29" s="7">
        <f t="shared" si="6"/>
        <v>0</v>
      </c>
      <c r="R29" s="6"/>
      <c r="S29" s="7">
        <f t="shared" si="7"/>
        <v>0</v>
      </c>
      <c r="T29" s="8">
        <f t="shared" si="8"/>
        <v>140.18181818181819</v>
      </c>
      <c r="U29" s="6">
        <f t="shared" si="9"/>
        <v>19</v>
      </c>
      <c r="V29" s="6">
        <f>COUNTA(F29,H29,J29,L29,R29,P29,#REF!)</f>
        <v>3</v>
      </c>
      <c r="W29" s="13">
        <f t="shared" si="10"/>
        <v>0.42857142857142855</v>
      </c>
    </row>
    <row r="30" spans="1:23" x14ac:dyDescent="0.3">
      <c r="B30" s="5">
        <f t="shared" si="0"/>
        <v>20</v>
      </c>
      <c r="C30" s="6" t="s">
        <v>448</v>
      </c>
      <c r="D30" s="6" t="s">
        <v>335</v>
      </c>
      <c r="E30" s="6" t="s">
        <v>72</v>
      </c>
      <c r="F30" s="6"/>
      <c r="G30" s="7">
        <f t="shared" si="1"/>
        <v>0</v>
      </c>
      <c r="H30" s="6">
        <v>25</v>
      </c>
      <c r="I30" s="7">
        <f>I29/2</f>
        <v>36</v>
      </c>
      <c r="J30" s="6"/>
      <c r="K30" s="7">
        <f t="shared" si="3"/>
        <v>0</v>
      </c>
      <c r="L30" s="6"/>
      <c r="M30" s="7">
        <f t="shared" si="4"/>
        <v>0</v>
      </c>
      <c r="N30" s="7"/>
      <c r="O30" s="7">
        <f t="shared" si="5"/>
        <v>0</v>
      </c>
      <c r="P30" s="14"/>
      <c r="Q30" s="7">
        <f t="shared" si="6"/>
        <v>0</v>
      </c>
      <c r="R30" s="14"/>
      <c r="S30" s="7">
        <f t="shared" si="7"/>
        <v>0</v>
      </c>
      <c r="T30" s="8">
        <f t="shared" si="8"/>
        <v>36</v>
      </c>
      <c r="U30" s="6">
        <f t="shared" si="9"/>
        <v>20</v>
      </c>
      <c r="V30" s="6">
        <f>COUNTA(F30,H30,J30,L30,R30,P30,#REF!)</f>
        <v>2</v>
      </c>
      <c r="W30" s="13">
        <f t="shared" si="10"/>
        <v>0.2857142857142857</v>
      </c>
    </row>
    <row r="31" spans="1:23" x14ac:dyDescent="0.3">
      <c r="B31" s="5">
        <f t="shared" si="0"/>
        <v>21</v>
      </c>
      <c r="C31" s="6" t="s">
        <v>336</v>
      </c>
      <c r="D31" s="6" t="s">
        <v>334</v>
      </c>
      <c r="E31" s="6" t="s">
        <v>72</v>
      </c>
      <c r="F31" s="6"/>
      <c r="G31" s="7">
        <f t="shared" si="1"/>
        <v>0</v>
      </c>
      <c r="H31" s="6">
        <v>21</v>
      </c>
      <c r="I31" s="7">
        <f t="shared" ref="I31:I36" si="11">IF(H31=0,,($H$9-H31)*$H$7*100/$H$9)</f>
        <v>48</v>
      </c>
      <c r="J31" s="6">
        <v>121</v>
      </c>
      <c r="K31" s="7">
        <f t="shared" si="3"/>
        <v>12.8</v>
      </c>
      <c r="L31" s="6">
        <v>19</v>
      </c>
      <c r="M31" s="7">
        <f t="shared" si="4"/>
        <v>40.909090909090907</v>
      </c>
      <c r="N31" s="7"/>
      <c r="O31" s="7">
        <f t="shared" si="5"/>
        <v>0</v>
      </c>
      <c r="P31" s="6">
        <v>123</v>
      </c>
      <c r="Q31" s="7">
        <f>4/2</f>
        <v>2</v>
      </c>
      <c r="R31" s="6"/>
      <c r="S31" s="7">
        <f t="shared" si="7"/>
        <v>0</v>
      </c>
      <c r="T31" s="8">
        <f t="shared" si="8"/>
        <v>103.7090909090909</v>
      </c>
      <c r="U31" s="6">
        <f t="shared" si="9"/>
        <v>21</v>
      </c>
      <c r="V31" s="6">
        <f>COUNTA(F31,H31,J31,L31,R31,P31,#REF!)</f>
        <v>5</v>
      </c>
      <c r="W31" s="13">
        <f t="shared" si="10"/>
        <v>0.7142857142857143</v>
      </c>
    </row>
    <row r="32" spans="1:23" x14ac:dyDescent="0.3">
      <c r="B32" s="5">
        <f t="shared" si="0"/>
        <v>22</v>
      </c>
      <c r="C32" s="6" t="s">
        <v>167</v>
      </c>
      <c r="D32" s="6" t="s">
        <v>168</v>
      </c>
      <c r="E32" s="6" t="s">
        <v>89</v>
      </c>
      <c r="F32" s="6"/>
      <c r="G32" s="7">
        <f t="shared" si="1"/>
        <v>0</v>
      </c>
      <c r="H32" s="6">
        <v>18</v>
      </c>
      <c r="I32" s="7">
        <f t="shared" si="11"/>
        <v>84</v>
      </c>
      <c r="J32" s="6"/>
      <c r="K32" s="7">
        <f t="shared" si="3"/>
        <v>0</v>
      </c>
      <c r="L32" s="6">
        <v>21</v>
      </c>
      <c r="M32" s="7">
        <f t="shared" si="4"/>
        <v>13.636363636363637</v>
      </c>
      <c r="N32" s="7"/>
      <c r="O32" s="7">
        <f t="shared" si="5"/>
        <v>0</v>
      </c>
      <c r="P32" s="6"/>
      <c r="Q32" s="7">
        <f>IF(P32=0,,($P$9-P32)*$P$7*100/$P$9)</f>
        <v>0</v>
      </c>
      <c r="R32" s="6"/>
      <c r="S32" s="7">
        <f t="shared" si="7"/>
        <v>0</v>
      </c>
      <c r="T32" s="8">
        <f t="shared" si="8"/>
        <v>97.63636363636364</v>
      </c>
      <c r="U32" s="6">
        <f t="shared" si="9"/>
        <v>22</v>
      </c>
      <c r="V32" s="6">
        <f>COUNTA(F32,H32,J32,L32,R32,P32,#REF!)</f>
        <v>3</v>
      </c>
      <c r="W32" s="13">
        <f t="shared" si="10"/>
        <v>0.42857142857142855</v>
      </c>
    </row>
    <row r="33" spans="2:23" x14ac:dyDescent="0.3">
      <c r="B33" s="5">
        <f t="shared" si="0"/>
        <v>23</v>
      </c>
      <c r="C33" s="6" t="s">
        <v>445</v>
      </c>
      <c r="D33" s="6" t="s">
        <v>209</v>
      </c>
      <c r="E33" s="6" t="s">
        <v>49</v>
      </c>
      <c r="F33" s="6"/>
      <c r="G33" s="7">
        <f t="shared" si="1"/>
        <v>0</v>
      </c>
      <c r="H33" s="6">
        <v>22</v>
      </c>
      <c r="I33" s="7">
        <f t="shared" si="11"/>
        <v>36</v>
      </c>
      <c r="J33" s="6">
        <v>123</v>
      </c>
      <c r="K33" s="7">
        <f t="shared" si="3"/>
        <v>6.4</v>
      </c>
      <c r="L33" s="6">
        <v>22</v>
      </c>
      <c r="M33" s="7">
        <f>14/2</f>
        <v>7</v>
      </c>
      <c r="N33" s="7"/>
      <c r="O33" s="7">
        <f t="shared" si="5"/>
        <v>0</v>
      </c>
      <c r="P33" s="6">
        <v>120</v>
      </c>
      <c r="Q33" s="7">
        <f>IF(P33=0,,($P$9-P33)*$P$7*100/$P$9)</f>
        <v>12.195121951219512</v>
      </c>
      <c r="R33" s="6"/>
      <c r="S33" s="7">
        <f t="shared" si="7"/>
        <v>0</v>
      </c>
      <c r="T33" s="8">
        <f t="shared" si="8"/>
        <v>61.595121951219511</v>
      </c>
      <c r="U33" s="6">
        <f t="shared" si="9"/>
        <v>23</v>
      </c>
      <c r="V33" s="6">
        <f>COUNTA(F33,H33,J33,L33,R33,P33,#REF!)</f>
        <v>5</v>
      </c>
      <c r="W33" s="13">
        <f t="shared" si="10"/>
        <v>0.7142857142857143</v>
      </c>
    </row>
    <row r="34" spans="2:23" x14ac:dyDescent="0.3">
      <c r="B34" s="5">
        <f t="shared" si="0"/>
        <v>24</v>
      </c>
      <c r="C34" s="6" t="s">
        <v>394</v>
      </c>
      <c r="D34" s="6" t="s">
        <v>145</v>
      </c>
      <c r="E34" s="6" t="s">
        <v>49</v>
      </c>
      <c r="F34" s="6"/>
      <c r="G34" s="7">
        <f t="shared" si="1"/>
        <v>0</v>
      </c>
      <c r="H34" s="6">
        <v>20</v>
      </c>
      <c r="I34" s="7">
        <f t="shared" si="11"/>
        <v>60</v>
      </c>
      <c r="J34" s="6"/>
      <c r="K34" s="7">
        <f t="shared" si="3"/>
        <v>0</v>
      </c>
      <c r="L34" s="6"/>
      <c r="M34" s="7">
        <f>IF(L34=0,,($L$9-L34)*$L$7*100/$L$9)</f>
        <v>0</v>
      </c>
      <c r="N34" s="7"/>
      <c r="O34" s="7">
        <f t="shared" si="5"/>
        <v>0</v>
      </c>
      <c r="P34" s="14"/>
      <c r="Q34" s="7">
        <f>IF(P34=0,,($P$9-P34)*$P$7*100/$P$9)</f>
        <v>0</v>
      </c>
      <c r="R34" s="14"/>
      <c r="S34" s="7">
        <f t="shared" si="7"/>
        <v>0</v>
      </c>
      <c r="T34" s="8">
        <f t="shared" si="8"/>
        <v>60</v>
      </c>
      <c r="U34" s="6">
        <f t="shared" si="9"/>
        <v>24</v>
      </c>
      <c r="V34" s="6">
        <f>COUNTA(F34,H34,J34,L34,R34,P34,#REF!)</f>
        <v>2</v>
      </c>
      <c r="W34" s="13">
        <f t="shared" si="10"/>
        <v>0.2857142857142857</v>
      </c>
    </row>
    <row r="35" spans="2:23" x14ac:dyDescent="0.3">
      <c r="B35" s="5">
        <f t="shared" si="0"/>
        <v>25</v>
      </c>
      <c r="C35" s="6" t="s">
        <v>446</v>
      </c>
      <c r="D35" s="6" t="s">
        <v>447</v>
      </c>
      <c r="E35" s="6" t="s">
        <v>72</v>
      </c>
      <c r="F35" s="6"/>
      <c r="G35" s="7">
        <f t="shared" si="1"/>
        <v>0</v>
      </c>
      <c r="H35" s="6">
        <v>24</v>
      </c>
      <c r="I35" s="7">
        <f t="shared" si="11"/>
        <v>12</v>
      </c>
      <c r="J35" s="6"/>
      <c r="K35" s="7">
        <f t="shared" si="3"/>
        <v>0</v>
      </c>
      <c r="L35" s="6"/>
      <c r="M35" s="7">
        <f>IF(L35=0,,($L$9-L35)*$L$7*100/$L$9)</f>
        <v>0</v>
      </c>
      <c r="N35" s="7"/>
      <c r="O35" s="7">
        <f t="shared" si="5"/>
        <v>0</v>
      </c>
      <c r="P35" s="6"/>
      <c r="Q35" s="7">
        <f>IF(P35=0,,($P$9-P35)*$P$7*100/$P$9)</f>
        <v>0</v>
      </c>
      <c r="R35" s="6"/>
      <c r="S35" s="7">
        <f t="shared" si="7"/>
        <v>0</v>
      </c>
      <c r="T35" s="8">
        <f t="shared" si="8"/>
        <v>12</v>
      </c>
      <c r="U35" s="6">
        <f t="shared" si="9"/>
        <v>25</v>
      </c>
      <c r="V35" s="6">
        <f>COUNTA(F35,H35,J35,L35,R35,P35,#REF!)</f>
        <v>2</v>
      </c>
      <c r="W35" s="13">
        <f t="shared" si="10"/>
        <v>0.2857142857142857</v>
      </c>
    </row>
    <row r="36" spans="2:23" x14ac:dyDescent="0.3">
      <c r="B36" s="5">
        <f t="shared" si="0"/>
        <v>26</v>
      </c>
      <c r="C36" s="6" t="s">
        <v>393</v>
      </c>
      <c r="D36" s="6" t="s">
        <v>391</v>
      </c>
      <c r="E36" s="6" t="s">
        <v>49</v>
      </c>
      <c r="F36" s="6"/>
      <c r="G36" s="7">
        <f t="shared" si="1"/>
        <v>0</v>
      </c>
      <c r="H36" s="6"/>
      <c r="I36" s="7">
        <f t="shared" si="11"/>
        <v>0</v>
      </c>
      <c r="J36" s="6"/>
      <c r="K36" s="7">
        <f t="shared" si="3"/>
        <v>0</v>
      </c>
      <c r="L36" s="6"/>
      <c r="M36" s="7">
        <f>IF(L36=0,,($L$9-L36)*$L$7*100/$L$9)</f>
        <v>0</v>
      </c>
      <c r="N36" s="7"/>
      <c r="O36" s="7">
        <f t="shared" si="5"/>
        <v>0</v>
      </c>
      <c r="P36" s="14"/>
      <c r="Q36" s="7">
        <f>IF(P36=0,,($P$9-P36)*$P$7*100/$P$9)</f>
        <v>0</v>
      </c>
      <c r="R36" s="14"/>
      <c r="S36" s="7">
        <f t="shared" si="7"/>
        <v>0</v>
      </c>
      <c r="T36" s="8">
        <f t="shared" si="8"/>
        <v>0</v>
      </c>
      <c r="U36" s="6">
        <f t="shared" si="9"/>
        <v>26</v>
      </c>
      <c r="V36" s="6">
        <f>COUNTA(F36,H36,J36,L36,R36,P36,#REF!)</f>
        <v>1</v>
      </c>
      <c r="W36" s="13">
        <f t="shared" si="10"/>
        <v>0.14285714285714285</v>
      </c>
    </row>
    <row r="37" spans="2:23" x14ac:dyDescent="0.3">
      <c r="B37" s="5">
        <f t="shared" ref="B37:B54" si="12">U37</f>
        <v>27</v>
      </c>
      <c r="C37" s="6"/>
      <c r="D37" s="6"/>
      <c r="E37" s="6"/>
      <c r="F37" s="6"/>
      <c r="G37" s="7">
        <f t="shared" ref="G37:G50" si="13">IF(F37=0,,($F$9-F37)*$F$7*100/$F$9)</f>
        <v>0</v>
      </c>
      <c r="H37" s="6"/>
      <c r="I37" s="7">
        <f t="shared" ref="I37:I54" si="14">IF(H37=0,,($H$9-H37)*$H$7*100/$H$9)</f>
        <v>0</v>
      </c>
      <c r="J37" s="6"/>
      <c r="K37" s="7">
        <f t="shared" ref="K37:K54" si="15">IF(J37=0,,($J$9-J37)*$J$7*100/$J$9)</f>
        <v>0</v>
      </c>
      <c r="L37" s="6"/>
      <c r="M37" s="7">
        <f t="shared" ref="M37:M54" si="16">IF(L37=0,,($L$9-L37)*$L$7*100/$L$9)</f>
        <v>0</v>
      </c>
      <c r="N37" s="7"/>
      <c r="O37" s="7"/>
      <c r="P37" s="6"/>
      <c r="Q37" s="7">
        <f t="shared" ref="Q37:Q54" si="17">IF(P37=0,,($P$9-P37)*$P$7*100/$P$9)</f>
        <v>0</v>
      </c>
      <c r="R37" s="6"/>
      <c r="S37" s="7">
        <f t="shared" ref="S37:S54" si="18">IF(R37=0,,($R$9-R37)*$R$7*100/$R$9)</f>
        <v>0</v>
      </c>
      <c r="T37" s="8">
        <f t="shared" ref="T37:T54" si="19">G37+I37+K37+M37+O37+Q37</f>
        <v>0</v>
      </c>
      <c r="U37" s="6">
        <f t="shared" ref="U37:U54" si="20">ROW(C37)-10</f>
        <v>27</v>
      </c>
      <c r="V37" s="6">
        <f>COUNTA(F37,H37,J37,L37,R37,P37,#REF!)</f>
        <v>1</v>
      </c>
      <c r="W37" s="13">
        <f t="shared" ref="W37:W54" si="21">V37/$H$3</f>
        <v>0.14285714285714285</v>
      </c>
    </row>
    <row r="38" spans="2:23" x14ac:dyDescent="0.3">
      <c r="B38" s="5">
        <f t="shared" si="12"/>
        <v>28</v>
      </c>
      <c r="C38" s="6"/>
      <c r="D38" s="6"/>
      <c r="E38" s="6"/>
      <c r="F38" s="6"/>
      <c r="G38" s="7">
        <f t="shared" si="13"/>
        <v>0</v>
      </c>
      <c r="H38" s="6"/>
      <c r="I38" s="7">
        <f t="shared" si="14"/>
        <v>0</v>
      </c>
      <c r="J38" s="6"/>
      <c r="K38" s="7">
        <f t="shared" si="15"/>
        <v>0</v>
      </c>
      <c r="L38" s="6"/>
      <c r="M38" s="7">
        <f t="shared" si="16"/>
        <v>0</v>
      </c>
      <c r="N38" s="7"/>
      <c r="O38" s="7"/>
      <c r="P38" s="6"/>
      <c r="Q38" s="7">
        <f t="shared" si="17"/>
        <v>0</v>
      </c>
      <c r="R38" s="6"/>
      <c r="S38" s="7">
        <f t="shared" si="18"/>
        <v>0</v>
      </c>
      <c r="T38" s="8">
        <f t="shared" si="19"/>
        <v>0</v>
      </c>
      <c r="U38" s="6">
        <f t="shared" si="20"/>
        <v>28</v>
      </c>
      <c r="V38" s="6">
        <f>COUNTA(F38,H38,J38,L38,R38,P38,#REF!)</f>
        <v>1</v>
      </c>
      <c r="W38" s="13">
        <f t="shared" si="21"/>
        <v>0.14285714285714285</v>
      </c>
    </row>
    <row r="39" spans="2:23" x14ac:dyDescent="0.3">
      <c r="B39" s="5">
        <f t="shared" si="12"/>
        <v>29</v>
      </c>
      <c r="C39" s="6"/>
      <c r="D39" s="6"/>
      <c r="E39" s="6"/>
      <c r="F39" s="6"/>
      <c r="G39" s="7">
        <f t="shared" si="13"/>
        <v>0</v>
      </c>
      <c r="H39" s="6"/>
      <c r="I39" s="7">
        <f t="shared" si="14"/>
        <v>0</v>
      </c>
      <c r="J39" s="6"/>
      <c r="K39" s="7">
        <f t="shared" si="15"/>
        <v>0</v>
      </c>
      <c r="L39" s="6"/>
      <c r="M39" s="7">
        <f t="shared" si="16"/>
        <v>0</v>
      </c>
      <c r="N39" s="7"/>
      <c r="O39" s="7"/>
      <c r="P39" s="6"/>
      <c r="Q39" s="7">
        <f t="shared" si="17"/>
        <v>0</v>
      </c>
      <c r="R39" s="6"/>
      <c r="S39" s="7">
        <f t="shared" si="18"/>
        <v>0</v>
      </c>
      <c r="T39" s="8">
        <f t="shared" si="19"/>
        <v>0</v>
      </c>
      <c r="U39" s="6">
        <f t="shared" si="20"/>
        <v>29</v>
      </c>
      <c r="V39" s="6">
        <f>COUNTA(F39,H39,J39,L39,R39,P39,#REF!)</f>
        <v>1</v>
      </c>
      <c r="W39" s="13">
        <f t="shared" si="21"/>
        <v>0.14285714285714285</v>
      </c>
    </row>
    <row r="40" spans="2:23" x14ac:dyDescent="0.3">
      <c r="B40" s="5">
        <f t="shared" si="12"/>
        <v>30</v>
      </c>
      <c r="C40" s="6"/>
      <c r="D40" s="6"/>
      <c r="E40" s="6"/>
      <c r="F40" s="6"/>
      <c r="G40" s="7">
        <f t="shared" si="13"/>
        <v>0</v>
      </c>
      <c r="H40" s="6"/>
      <c r="I40" s="7">
        <f t="shared" si="14"/>
        <v>0</v>
      </c>
      <c r="J40" s="6"/>
      <c r="K40" s="7">
        <f t="shared" si="15"/>
        <v>0</v>
      </c>
      <c r="L40" s="6"/>
      <c r="M40" s="7">
        <f t="shared" si="16"/>
        <v>0</v>
      </c>
      <c r="N40" s="7"/>
      <c r="O40" s="7"/>
      <c r="P40" s="6"/>
      <c r="Q40" s="7">
        <f t="shared" si="17"/>
        <v>0</v>
      </c>
      <c r="R40" s="6"/>
      <c r="S40" s="7">
        <f t="shared" si="18"/>
        <v>0</v>
      </c>
      <c r="T40" s="8">
        <f t="shared" si="19"/>
        <v>0</v>
      </c>
      <c r="U40" s="6">
        <f t="shared" si="20"/>
        <v>30</v>
      </c>
      <c r="V40" s="6">
        <f>COUNTA(F40,H40,J40,L40,R40,P40,#REF!)</f>
        <v>1</v>
      </c>
      <c r="W40" s="13">
        <f t="shared" si="21"/>
        <v>0.14285714285714285</v>
      </c>
    </row>
    <row r="41" spans="2:23" x14ac:dyDescent="0.3">
      <c r="B41" s="5">
        <f t="shared" si="12"/>
        <v>31</v>
      </c>
      <c r="C41" s="6"/>
      <c r="D41" s="6"/>
      <c r="E41" s="6"/>
      <c r="F41" s="6"/>
      <c r="G41" s="7">
        <f t="shared" si="13"/>
        <v>0</v>
      </c>
      <c r="H41" s="6"/>
      <c r="I41" s="7">
        <f t="shared" si="14"/>
        <v>0</v>
      </c>
      <c r="J41" s="6"/>
      <c r="K41" s="7">
        <f t="shared" si="15"/>
        <v>0</v>
      </c>
      <c r="L41" s="6"/>
      <c r="M41" s="7">
        <f t="shared" si="16"/>
        <v>0</v>
      </c>
      <c r="N41" s="7"/>
      <c r="O41" s="7"/>
      <c r="P41" s="6"/>
      <c r="Q41" s="7">
        <f t="shared" si="17"/>
        <v>0</v>
      </c>
      <c r="R41" s="6"/>
      <c r="S41" s="7">
        <f t="shared" si="18"/>
        <v>0</v>
      </c>
      <c r="T41" s="8">
        <f t="shared" si="19"/>
        <v>0</v>
      </c>
      <c r="U41" s="6">
        <f t="shared" si="20"/>
        <v>31</v>
      </c>
      <c r="V41" s="6">
        <f>COUNTA(F41,H41,J41,L41,R41,P41,#REF!)</f>
        <v>1</v>
      </c>
      <c r="W41" s="13">
        <f t="shared" si="21"/>
        <v>0.14285714285714285</v>
      </c>
    </row>
    <row r="42" spans="2:23" x14ac:dyDescent="0.3">
      <c r="B42" s="5">
        <f t="shared" si="12"/>
        <v>32</v>
      </c>
      <c r="C42" s="6"/>
      <c r="D42" s="6"/>
      <c r="E42" s="6"/>
      <c r="F42" s="6"/>
      <c r="G42" s="7">
        <f t="shared" si="13"/>
        <v>0</v>
      </c>
      <c r="H42" s="6"/>
      <c r="I42" s="7">
        <f t="shared" si="14"/>
        <v>0</v>
      </c>
      <c r="J42" s="6"/>
      <c r="K42" s="7">
        <f t="shared" si="15"/>
        <v>0</v>
      </c>
      <c r="L42" s="6"/>
      <c r="M42" s="7">
        <f t="shared" si="16"/>
        <v>0</v>
      </c>
      <c r="N42" s="7"/>
      <c r="O42" s="7"/>
      <c r="P42" s="6"/>
      <c r="Q42" s="7">
        <f t="shared" si="17"/>
        <v>0</v>
      </c>
      <c r="R42" s="6"/>
      <c r="S42" s="7">
        <f t="shared" si="18"/>
        <v>0</v>
      </c>
      <c r="T42" s="8">
        <f t="shared" si="19"/>
        <v>0</v>
      </c>
      <c r="U42" s="6">
        <f t="shared" si="20"/>
        <v>32</v>
      </c>
      <c r="V42" s="6">
        <f>COUNTA(F42,H42,J42,L42,R42,P42,#REF!)</f>
        <v>1</v>
      </c>
      <c r="W42" s="13">
        <f t="shared" si="21"/>
        <v>0.14285714285714285</v>
      </c>
    </row>
    <row r="43" spans="2:23" x14ac:dyDescent="0.3">
      <c r="B43" s="5">
        <f t="shared" si="12"/>
        <v>33</v>
      </c>
      <c r="C43" s="6"/>
      <c r="D43" s="6"/>
      <c r="E43" s="6"/>
      <c r="F43" s="6"/>
      <c r="G43" s="7">
        <f t="shared" si="13"/>
        <v>0</v>
      </c>
      <c r="H43" s="6"/>
      <c r="I43" s="7">
        <f t="shared" si="14"/>
        <v>0</v>
      </c>
      <c r="J43" s="6"/>
      <c r="K43" s="7">
        <f t="shared" si="15"/>
        <v>0</v>
      </c>
      <c r="L43" s="6"/>
      <c r="M43" s="7">
        <f t="shared" si="16"/>
        <v>0</v>
      </c>
      <c r="N43" s="7"/>
      <c r="O43" s="7"/>
      <c r="P43" s="6"/>
      <c r="Q43" s="7">
        <f t="shared" si="17"/>
        <v>0</v>
      </c>
      <c r="R43" s="6"/>
      <c r="S43" s="7">
        <f t="shared" si="18"/>
        <v>0</v>
      </c>
      <c r="T43" s="8">
        <f t="shared" si="19"/>
        <v>0</v>
      </c>
      <c r="U43" s="6">
        <f t="shared" si="20"/>
        <v>33</v>
      </c>
      <c r="V43" s="6">
        <f>COUNTA(F43,H43,J43,L43,R43,P43,#REF!)</f>
        <v>1</v>
      </c>
      <c r="W43" s="13">
        <f t="shared" si="21"/>
        <v>0.14285714285714285</v>
      </c>
    </row>
    <row r="44" spans="2:23" x14ac:dyDescent="0.3">
      <c r="B44" s="5">
        <f t="shared" si="12"/>
        <v>34</v>
      </c>
      <c r="C44" s="6"/>
      <c r="D44" s="6"/>
      <c r="E44" s="6"/>
      <c r="F44" s="6"/>
      <c r="G44" s="7">
        <f t="shared" si="13"/>
        <v>0</v>
      </c>
      <c r="H44" s="6"/>
      <c r="I44" s="7">
        <f t="shared" si="14"/>
        <v>0</v>
      </c>
      <c r="J44" s="6"/>
      <c r="K44" s="7">
        <f t="shared" si="15"/>
        <v>0</v>
      </c>
      <c r="L44" s="6"/>
      <c r="M44" s="7">
        <f t="shared" si="16"/>
        <v>0</v>
      </c>
      <c r="N44" s="7"/>
      <c r="O44" s="7"/>
      <c r="P44" s="6"/>
      <c r="Q44" s="7">
        <f t="shared" si="17"/>
        <v>0</v>
      </c>
      <c r="R44" s="6"/>
      <c r="S44" s="7">
        <f t="shared" si="18"/>
        <v>0</v>
      </c>
      <c r="T44" s="8">
        <f t="shared" si="19"/>
        <v>0</v>
      </c>
      <c r="U44" s="6">
        <f t="shared" si="20"/>
        <v>34</v>
      </c>
      <c r="V44" s="6">
        <f>COUNTA(F44,H44,J44,L44,R44,P44,#REF!)</f>
        <v>1</v>
      </c>
      <c r="W44" s="13">
        <f t="shared" si="21"/>
        <v>0.14285714285714285</v>
      </c>
    </row>
    <row r="45" spans="2:23" x14ac:dyDescent="0.3">
      <c r="B45" s="5">
        <f t="shared" si="12"/>
        <v>35</v>
      </c>
      <c r="C45" s="6"/>
      <c r="D45" s="6"/>
      <c r="E45" s="6"/>
      <c r="F45" s="6"/>
      <c r="G45" s="7">
        <f t="shared" si="13"/>
        <v>0</v>
      </c>
      <c r="H45" s="6"/>
      <c r="I45" s="7">
        <f t="shared" si="14"/>
        <v>0</v>
      </c>
      <c r="J45" s="6"/>
      <c r="K45" s="7">
        <f t="shared" si="15"/>
        <v>0</v>
      </c>
      <c r="L45" s="6"/>
      <c r="M45" s="7">
        <f t="shared" si="16"/>
        <v>0</v>
      </c>
      <c r="N45" s="7"/>
      <c r="O45" s="7"/>
      <c r="P45" s="6"/>
      <c r="Q45" s="7">
        <f t="shared" si="17"/>
        <v>0</v>
      </c>
      <c r="R45" s="6"/>
      <c r="S45" s="7">
        <f t="shared" si="18"/>
        <v>0</v>
      </c>
      <c r="T45" s="8">
        <f t="shared" si="19"/>
        <v>0</v>
      </c>
      <c r="U45" s="6">
        <f t="shared" si="20"/>
        <v>35</v>
      </c>
      <c r="V45" s="6">
        <f>COUNTA(F45,H45,J45,L45,R45,P45,#REF!)</f>
        <v>1</v>
      </c>
      <c r="W45" s="13">
        <f t="shared" si="21"/>
        <v>0.14285714285714285</v>
      </c>
    </row>
    <row r="46" spans="2:23" x14ac:dyDescent="0.3">
      <c r="B46" s="5">
        <f t="shared" si="12"/>
        <v>36</v>
      </c>
      <c r="C46" s="6"/>
      <c r="D46" s="6"/>
      <c r="E46" s="6"/>
      <c r="F46" s="6"/>
      <c r="G46" s="7">
        <f t="shared" si="13"/>
        <v>0</v>
      </c>
      <c r="H46" s="6"/>
      <c r="I46" s="7">
        <f t="shared" si="14"/>
        <v>0</v>
      </c>
      <c r="J46" s="6"/>
      <c r="K46" s="7">
        <f t="shared" si="15"/>
        <v>0</v>
      </c>
      <c r="L46" s="6"/>
      <c r="M46" s="7">
        <f t="shared" si="16"/>
        <v>0</v>
      </c>
      <c r="N46" s="7"/>
      <c r="O46" s="7"/>
      <c r="P46" s="6"/>
      <c r="Q46" s="7">
        <f t="shared" si="17"/>
        <v>0</v>
      </c>
      <c r="R46" s="6"/>
      <c r="S46" s="7">
        <f t="shared" si="18"/>
        <v>0</v>
      </c>
      <c r="T46" s="8">
        <f t="shared" si="19"/>
        <v>0</v>
      </c>
      <c r="U46" s="6">
        <f t="shared" si="20"/>
        <v>36</v>
      </c>
      <c r="V46" s="6">
        <f>COUNTA(F46,H46,J46,L46,R46,P46,#REF!)</f>
        <v>1</v>
      </c>
      <c r="W46" s="13">
        <f t="shared" si="21"/>
        <v>0.14285714285714285</v>
      </c>
    </row>
    <row r="47" spans="2:23" x14ac:dyDescent="0.3">
      <c r="B47" s="5">
        <f t="shared" si="12"/>
        <v>37</v>
      </c>
      <c r="C47" s="6"/>
      <c r="D47" s="6"/>
      <c r="E47" s="6"/>
      <c r="F47" s="6"/>
      <c r="G47" s="7">
        <f t="shared" si="13"/>
        <v>0</v>
      </c>
      <c r="H47" s="6"/>
      <c r="I47" s="7">
        <f t="shared" si="14"/>
        <v>0</v>
      </c>
      <c r="J47" s="6"/>
      <c r="K47" s="7">
        <f t="shared" si="15"/>
        <v>0</v>
      </c>
      <c r="L47" s="6"/>
      <c r="M47" s="7">
        <f t="shared" si="16"/>
        <v>0</v>
      </c>
      <c r="N47" s="7"/>
      <c r="O47" s="7"/>
      <c r="P47" s="6"/>
      <c r="Q47" s="7">
        <f t="shared" si="17"/>
        <v>0</v>
      </c>
      <c r="R47" s="6"/>
      <c r="S47" s="7">
        <f t="shared" si="18"/>
        <v>0</v>
      </c>
      <c r="T47" s="8">
        <f t="shared" si="19"/>
        <v>0</v>
      </c>
      <c r="U47" s="6">
        <f t="shared" si="20"/>
        <v>37</v>
      </c>
      <c r="V47" s="6">
        <f>COUNTA(F47,H47,J47,L47,R47,P47,#REF!)</f>
        <v>1</v>
      </c>
      <c r="W47" s="13">
        <f t="shared" si="21"/>
        <v>0.14285714285714285</v>
      </c>
    </row>
    <row r="48" spans="2:23" x14ac:dyDescent="0.3">
      <c r="B48" s="5">
        <f t="shared" si="12"/>
        <v>38</v>
      </c>
      <c r="C48" s="6"/>
      <c r="D48" s="6"/>
      <c r="E48" s="6"/>
      <c r="F48" s="6"/>
      <c r="G48" s="7">
        <f t="shared" si="13"/>
        <v>0</v>
      </c>
      <c r="H48" s="6"/>
      <c r="I48" s="7">
        <f t="shared" si="14"/>
        <v>0</v>
      </c>
      <c r="J48" s="6"/>
      <c r="K48" s="7">
        <f t="shared" si="15"/>
        <v>0</v>
      </c>
      <c r="L48" s="6"/>
      <c r="M48" s="7">
        <f t="shared" si="16"/>
        <v>0</v>
      </c>
      <c r="N48" s="7"/>
      <c r="O48" s="7"/>
      <c r="P48" s="6"/>
      <c r="Q48" s="7">
        <f t="shared" si="17"/>
        <v>0</v>
      </c>
      <c r="R48" s="6"/>
      <c r="S48" s="7">
        <f t="shared" si="18"/>
        <v>0</v>
      </c>
      <c r="T48" s="8">
        <f t="shared" si="19"/>
        <v>0</v>
      </c>
      <c r="U48" s="6">
        <f t="shared" si="20"/>
        <v>38</v>
      </c>
      <c r="V48" s="6">
        <f>COUNTA(F48,H48,J48,L48,R48,P48,#REF!)</f>
        <v>1</v>
      </c>
      <c r="W48" s="13">
        <f t="shared" si="21"/>
        <v>0.14285714285714285</v>
      </c>
    </row>
    <row r="49" spans="2:23" x14ac:dyDescent="0.3">
      <c r="B49" s="5">
        <f t="shared" si="12"/>
        <v>39</v>
      </c>
      <c r="C49" s="6"/>
      <c r="D49" s="6"/>
      <c r="E49" s="6"/>
      <c r="F49" s="6"/>
      <c r="G49" s="7">
        <f t="shared" si="13"/>
        <v>0</v>
      </c>
      <c r="H49" s="6"/>
      <c r="I49" s="7">
        <f t="shared" si="14"/>
        <v>0</v>
      </c>
      <c r="J49" s="6"/>
      <c r="K49" s="7">
        <f t="shared" si="15"/>
        <v>0</v>
      </c>
      <c r="L49" s="6"/>
      <c r="M49" s="7">
        <f t="shared" si="16"/>
        <v>0</v>
      </c>
      <c r="N49" s="7"/>
      <c r="O49" s="7"/>
      <c r="P49" s="6"/>
      <c r="Q49" s="7">
        <f t="shared" si="17"/>
        <v>0</v>
      </c>
      <c r="R49" s="6"/>
      <c r="S49" s="7">
        <f t="shared" si="18"/>
        <v>0</v>
      </c>
      <c r="T49" s="8">
        <f t="shared" si="19"/>
        <v>0</v>
      </c>
      <c r="U49" s="6">
        <f t="shared" si="20"/>
        <v>39</v>
      </c>
      <c r="V49" s="6">
        <f>COUNTA(F49,H49,J49,L49,R49,P49,#REF!)</f>
        <v>1</v>
      </c>
      <c r="W49" s="13">
        <f t="shared" si="21"/>
        <v>0.14285714285714285</v>
      </c>
    </row>
    <row r="50" spans="2:23" x14ac:dyDescent="0.3">
      <c r="B50" s="5">
        <f t="shared" si="12"/>
        <v>40</v>
      </c>
      <c r="C50" s="6"/>
      <c r="D50" s="6"/>
      <c r="E50" s="6"/>
      <c r="F50" s="6"/>
      <c r="G50" s="7">
        <f t="shared" si="13"/>
        <v>0</v>
      </c>
      <c r="H50" s="6"/>
      <c r="I50" s="7">
        <f t="shared" si="14"/>
        <v>0</v>
      </c>
      <c r="J50" s="6"/>
      <c r="K50" s="7">
        <f t="shared" si="15"/>
        <v>0</v>
      </c>
      <c r="L50" s="6"/>
      <c r="M50" s="7">
        <f t="shared" si="16"/>
        <v>0</v>
      </c>
      <c r="N50" s="7"/>
      <c r="O50" s="7"/>
      <c r="P50" s="6"/>
      <c r="Q50" s="7">
        <f t="shared" si="17"/>
        <v>0</v>
      </c>
      <c r="R50" s="6"/>
      <c r="S50" s="7">
        <f t="shared" si="18"/>
        <v>0</v>
      </c>
      <c r="T50" s="8">
        <f t="shared" si="19"/>
        <v>0</v>
      </c>
      <c r="U50" s="6">
        <f t="shared" si="20"/>
        <v>40</v>
      </c>
      <c r="V50" s="6">
        <f>COUNTA(F50,H50,J50,L50,R50,P50,#REF!)</f>
        <v>1</v>
      </c>
      <c r="W50" s="13">
        <f t="shared" si="21"/>
        <v>0.14285714285714285</v>
      </c>
    </row>
    <row r="51" spans="2:23" x14ac:dyDescent="0.3">
      <c r="B51" s="5">
        <f t="shared" si="12"/>
        <v>41</v>
      </c>
      <c r="C51" s="6"/>
      <c r="D51" s="6"/>
      <c r="E51" s="6"/>
      <c r="F51" s="6"/>
      <c r="G51" s="7">
        <f>5/2</f>
        <v>2.5</v>
      </c>
      <c r="H51" s="6"/>
      <c r="I51" s="7">
        <f t="shared" si="14"/>
        <v>0</v>
      </c>
      <c r="J51" s="6"/>
      <c r="K51" s="7">
        <f t="shared" si="15"/>
        <v>0</v>
      </c>
      <c r="L51" s="6"/>
      <c r="M51" s="7">
        <f t="shared" si="16"/>
        <v>0</v>
      </c>
      <c r="N51" s="7"/>
      <c r="O51" s="7"/>
      <c r="P51" s="6"/>
      <c r="Q51" s="7">
        <f t="shared" si="17"/>
        <v>0</v>
      </c>
      <c r="R51" s="6"/>
      <c r="S51" s="7">
        <f t="shared" si="18"/>
        <v>0</v>
      </c>
      <c r="T51" s="8">
        <f t="shared" si="19"/>
        <v>2.5</v>
      </c>
      <c r="U51" s="6">
        <f t="shared" si="20"/>
        <v>41</v>
      </c>
      <c r="V51" s="6">
        <f>COUNTA(F51,H51,J51,L51,R51,P51,#REF!)</f>
        <v>1</v>
      </c>
      <c r="W51" s="13">
        <f t="shared" si="21"/>
        <v>0.14285714285714285</v>
      </c>
    </row>
    <row r="52" spans="2:23" x14ac:dyDescent="0.3">
      <c r="B52" s="5">
        <f t="shared" si="12"/>
        <v>42</v>
      </c>
      <c r="C52" s="6"/>
      <c r="D52" s="6"/>
      <c r="E52" s="6"/>
      <c r="F52" s="6"/>
      <c r="G52" s="7">
        <f t="shared" ref="G52:G54" si="22">IF(F52=0,,($F$9-F52)*$F$7*100/$F$9)</f>
        <v>0</v>
      </c>
      <c r="H52" s="6"/>
      <c r="I52" s="7">
        <f t="shared" si="14"/>
        <v>0</v>
      </c>
      <c r="J52" s="6"/>
      <c r="K52" s="7">
        <f t="shared" si="15"/>
        <v>0</v>
      </c>
      <c r="L52" s="6"/>
      <c r="M52" s="7">
        <f t="shared" si="16"/>
        <v>0</v>
      </c>
      <c r="N52" s="7"/>
      <c r="O52" s="7"/>
      <c r="P52" s="6"/>
      <c r="Q52" s="7">
        <f t="shared" si="17"/>
        <v>0</v>
      </c>
      <c r="R52" s="6"/>
      <c r="S52" s="7">
        <f t="shared" si="18"/>
        <v>0</v>
      </c>
      <c r="T52" s="8">
        <f t="shared" si="19"/>
        <v>0</v>
      </c>
      <c r="U52" s="6">
        <f t="shared" si="20"/>
        <v>42</v>
      </c>
      <c r="V52" s="6">
        <f>COUNTA(F52,H52,J52,L52,R52,P52,#REF!)</f>
        <v>1</v>
      </c>
      <c r="W52" s="13">
        <f t="shared" si="21"/>
        <v>0.14285714285714285</v>
      </c>
    </row>
    <row r="53" spans="2:23" x14ac:dyDescent="0.3">
      <c r="B53" s="5">
        <f t="shared" si="12"/>
        <v>43</v>
      </c>
      <c r="C53" s="6"/>
      <c r="D53" s="6"/>
      <c r="E53" s="6"/>
      <c r="F53" s="6"/>
      <c r="G53" s="7">
        <f t="shared" si="22"/>
        <v>0</v>
      </c>
      <c r="H53" s="6"/>
      <c r="I53" s="7">
        <f t="shared" si="14"/>
        <v>0</v>
      </c>
      <c r="J53" s="6"/>
      <c r="K53" s="7">
        <f t="shared" si="15"/>
        <v>0</v>
      </c>
      <c r="L53" s="6"/>
      <c r="M53" s="7">
        <f t="shared" si="16"/>
        <v>0</v>
      </c>
      <c r="N53" s="7"/>
      <c r="O53" s="7"/>
      <c r="P53" s="6"/>
      <c r="Q53" s="7">
        <f t="shared" si="17"/>
        <v>0</v>
      </c>
      <c r="R53" s="6"/>
      <c r="S53" s="7">
        <f t="shared" si="18"/>
        <v>0</v>
      </c>
      <c r="T53" s="8">
        <f t="shared" si="19"/>
        <v>0</v>
      </c>
      <c r="U53" s="6">
        <f t="shared" si="20"/>
        <v>43</v>
      </c>
      <c r="V53" s="6">
        <f>COUNTA(F53,H53,J53,L53,R53,P53,#REF!)</f>
        <v>1</v>
      </c>
      <c r="W53" s="13">
        <f t="shared" si="21"/>
        <v>0.14285714285714285</v>
      </c>
    </row>
    <row r="54" spans="2:23" x14ac:dyDescent="0.3">
      <c r="B54" s="5">
        <f t="shared" si="12"/>
        <v>44</v>
      </c>
      <c r="C54" s="6"/>
      <c r="D54" s="6"/>
      <c r="E54" s="6"/>
      <c r="F54" s="6"/>
      <c r="G54" s="7">
        <f t="shared" si="22"/>
        <v>0</v>
      </c>
      <c r="H54" s="6"/>
      <c r="I54" s="7">
        <f t="shared" si="14"/>
        <v>0</v>
      </c>
      <c r="J54" s="6"/>
      <c r="K54" s="7">
        <f t="shared" si="15"/>
        <v>0</v>
      </c>
      <c r="L54" s="6"/>
      <c r="M54" s="7">
        <f t="shared" si="16"/>
        <v>0</v>
      </c>
      <c r="N54" s="7"/>
      <c r="O54" s="7"/>
      <c r="P54" s="6"/>
      <c r="Q54" s="7">
        <f t="shared" si="17"/>
        <v>0</v>
      </c>
      <c r="R54" s="6"/>
      <c r="S54" s="7">
        <f t="shared" si="18"/>
        <v>0</v>
      </c>
      <c r="T54" s="8">
        <f t="shared" si="19"/>
        <v>0</v>
      </c>
      <c r="U54" s="6">
        <f t="shared" si="20"/>
        <v>44</v>
      </c>
      <c r="V54" s="6">
        <f>COUNTA(F54,H54,J54,L54,R54,P54,#REF!)</f>
        <v>1</v>
      </c>
      <c r="W54" s="13">
        <f t="shared" si="21"/>
        <v>0.14285714285714285</v>
      </c>
    </row>
    <row r="55" spans="2:23" x14ac:dyDescent="0.3">
      <c r="B55" s="27" t="s">
        <v>237</v>
      </c>
      <c r="C55" s="27"/>
      <c r="D55" s="28"/>
      <c r="F55">
        <f>COUNTA(F11:F54)</f>
        <v>12</v>
      </c>
      <c r="H55">
        <f>COUNTA(H11:H54)</f>
        <v>25</v>
      </c>
      <c r="J55">
        <f>COUNTA(J11:J54)</f>
        <v>18</v>
      </c>
      <c r="L55">
        <f>COUNTA(L11:L54)</f>
        <v>22</v>
      </c>
      <c r="N55">
        <f>COUNTA(N11:N54)</f>
        <v>8</v>
      </c>
      <c r="P55">
        <f>COUNTA(P11:P54)</f>
        <v>18</v>
      </c>
      <c r="R55">
        <f>COUNTA(R11:R54)</f>
        <v>0</v>
      </c>
    </row>
    <row r="56" spans="2:23" x14ac:dyDescent="0.3">
      <c r="B56" s="30" t="s">
        <v>35</v>
      </c>
      <c r="C56" s="30"/>
      <c r="D56" s="30"/>
      <c r="F56" s="12">
        <f>F55/$H$2</f>
        <v>0.46153846153846156</v>
      </c>
      <c r="H56" s="12">
        <f>H55/$H$2</f>
        <v>0.96153846153846156</v>
      </c>
      <c r="J56" s="12">
        <f>J55/$H$2</f>
        <v>0.69230769230769229</v>
      </c>
      <c r="L56" s="12">
        <f>L55/$H$2</f>
        <v>0.84615384615384615</v>
      </c>
      <c r="N56" s="12">
        <f>N55/$H$2</f>
        <v>0.30769230769230771</v>
      </c>
      <c r="P56" s="12">
        <f>P55/$H$2</f>
        <v>0.69230769230769229</v>
      </c>
      <c r="R56" s="12">
        <f>R55/$H$2</f>
        <v>0</v>
      </c>
    </row>
    <row r="58" spans="2:23" x14ac:dyDescent="0.3">
      <c r="M58" t="s">
        <v>22</v>
      </c>
    </row>
    <row r="59" spans="2:23" x14ac:dyDescent="0.3">
      <c r="M59" t="s">
        <v>22</v>
      </c>
    </row>
    <row r="60" spans="2:23" x14ac:dyDescent="0.3">
      <c r="M60" t="s">
        <v>22</v>
      </c>
    </row>
    <row r="61" spans="2:23" x14ac:dyDescent="0.3">
      <c r="M61" t="s">
        <v>22</v>
      </c>
    </row>
    <row r="62" spans="2:23" x14ac:dyDescent="0.3">
      <c r="M62" t="s">
        <v>22</v>
      </c>
    </row>
    <row r="63" spans="2:23" x14ac:dyDescent="0.3">
      <c r="M63" t="s">
        <v>22</v>
      </c>
    </row>
    <row r="64" spans="2:23" x14ac:dyDescent="0.3">
      <c r="M64" t="s">
        <v>22</v>
      </c>
    </row>
    <row r="65" spans="13:13" x14ac:dyDescent="0.3">
      <c r="M65" t="s">
        <v>22</v>
      </c>
    </row>
    <row r="66" spans="13:13" x14ac:dyDescent="0.3">
      <c r="M66" t="s">
        <v>22</v>
      </c>
    </row>
    <row r="67" spans="13:13" x14ac:dyDescent="0.3">
      <c r="M67" t="s">
        <v>22</v>
      </c>
    </row>
    <row r="68" spans="13:13" x14ac:dyDescent="0.3">
      <c r="M68" t="s">
        <v>22</v>
      </c>
    </row>
    <row r="69" spans="13:13" x14ac:dyDescent="0.3">
      <c r="M69" t="s">
        <v>22</v>
      </c>
    </row>
  </sheetData>
  <sortState xmlns:xlrd2="http://schemas.microsoft.com/office/spreadsheetml/2017/richdata2" ref="A11:W36">
    <sortCondition descending="1" ref="T11:T36"/>
  </sortState>
  <mergeCells count="33">
    <mergeCell ref="B1:O1"/>
    <mergeCell ref="F2:G2"/>
    <mergeCell ref="F3:G3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P7:Q7"/>
    <mergeCell ref="R7:S7"/>
    <mergeCell ref="N7:O7"/>
    <mergeCell ref="B55:D55"/>
    <mergeCell ref="B56:D56"/>
    <mergeCell ref="R8:S8"/>
    <mergeCell ref="F9:G9"/>
    <mergeCell ref="H9:I9"/>
    <mergeCell ref="J9:K9"/>
    <mergeCell ref="L9:M9"/>
    <mergeCell ref="P9:Q9"/>
    <mergeCell ref="R9:S9"/>
    <mergeCell ref="F8:G8"/>
    <mergeCell ref="H8:I8"/>
    <mergeCell ref="J8:K8"/>
    <mergeCell ref="L8:M8"/>
    <mergeCell ref="P8:Q8"/>
    <mergeCell ref="N8:O8"/>
    <mergeCell ref="N9:O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61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33" sqref="N33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4" width="11.44140625" customWidth="1"/>
    <col min="15" max="15" width="16.88671875" customWidth="1"/>
    <col min="16" max="16" width="17.44140625" customWidth="1"/>
    <col min="17" max="17" width="16.886718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4" x14ac:dyDescent="0.3">
      <c r="E2" s="31" t="s">
        <v>32</v>
      </c>
      <c r="F2" s="31"/>
      <c r="G2" s="11">
        <f>COUNTA(B11:B59)</f>
        <v>49</v>
      </c>
    </row>
    <row r="3" spans="1:24" x14ac:dyDescent="0.3">
      <c r="B3" s="2"/>
      <c r="E3" s="31" t="s">
        <v>33</v>
      </c>
      <c r="F3" s="31"/>
      <c r="G3" s="11">
        <f>COUNTA(E8:T8)</f>
        <v>8</v>
      </c>
    </row>
    <row r="4" spans="1:24" x14ac:dyDescent="0.3">
      <c r="B4" s="2"/>
      <c r="C4" s="3"/>
    </row>
    <row r="6" spans="1:24" x14ac:dyDescent="0.3">
      <c r="D6" s="1" t="s">
        <v>0</v>
      </c>
      <c r="E6" s="26" t="s">
        <v>29</v>
      </c>
      <c r="F6" s="26"/>
      <c r="G6" s="26" t="s">
        <v>332</v>
      </c>
      <c r="H6" s="26"/>
      <c r="I6" s="26" t="s">
        <v>26</v>
      </c>
      <c r="J6" s="26"/>
      <c r="K6" s="26" t="s">
        <v>15</v>
      </c>
      <c r="L6" s="26"/>
      <c r="M6" s="26" t="s">
        <v>28</v>
      </c>
      <c r="N6" s="26"/>
      <c r="O6" s="26" t="s">
        <v>256</v>
      </c>
      <c r="P6" s="26"/>
      <c r="Q6" s="26" t="s">
        <v>255</v>
      </c>
      <c r="R6" s="26"/>
      <c r="S6" s="26" t="s">
        <v>43</v>
      </c>
      <c r="T6" s="26"/>
    </row>
    <row r="7" spans="1:24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  <c r="K7" s="23">
        <v>2</v>
      </c>
      <c r="L7" s="24"/>
      <c r="M7" s="23">
        <v>2</v>
      </c>
      <c r="N7" s="24"/>
      <c r="O7" s="23">
        <v>2</v>
      </c>
      <c r="P7" s="24"/>
      <c r="Q7" s="23">
        <v>3</v>
      </c>
      <c r="R7" s="24"/>
      <c r="S7" s="23">
        <v>6</v>
      </c>
      <c r="T7" s="24"/>
    </row>
    <row r="8" spans="1:24" x14ac:dyDescent="0.3">
      <c r="D8" s="1" t="s">
        <v>1</v>
      </c>
      <c r="E8" s="29">
        <v>45578</v>
      </c>
      <c r="F8" s="29"/>
      <c r="G8" s="36">
        <v>45587</v>
      </c>
      <c r="H8" s="37"/>
      <c r="I8" s="36">
        <v>45607</v>
      </c>
      <c r="J8" s="37"/>
      <c r="K8" s="36">
        <v>45612</v>
      </c>
      <c r="L8" s="37"/>
      <c r="M8" s="29">
        <v>45683</v>
      </c>
      <c r="N8" s="29"/>
      <c r="O8" s="29">
        <v>45774</v>
      </c>
      <c r="P8" s="29"/>
      <c r="Q8" s="29">
        <v>45807</v>
      </c>
      <c r="R8" s="29"/>
      <c r="S8" s="29">
        <v>45822</v>
      </c>
      <c r="T8" s="29"/>
    </row>
    <row r="9" spans="1:24" x14ac:dyDescent="0.3">
      <c r="D9" s="1" t="s">
        <v>2</v>
      </c>
      <c r="E9" s="26">
        <v>28</v>
      </c>
      <c r="F9" s="26"/>
      <c r="G9" s="23">
        <v>28</v>
      </c>
      <c r="H9" s="24"/>
      <c r="I9" s="23">
        <v>20</v>
      </c>
      <c r="J9" s="24"/>
      <c r="K9" s="23">
        <v>39</v>
      </c>
      <c r="L9" s="24"/>
      <c r="M9" s="26">
        <v>26</v>
      </c>
      <c r="N9" s="26"/>
      <c r="O9" s="26">
        <v>20</v>
      </c>
      <c r="P9" s="26"/>
      <c r="Q9" s="26">
        <v>24</v>
      </c>
      <c r="R9" s="26"/>
      <c r="S9" s="26"/>
      <c r="T9" s="26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34</v>
      </c>
      <c r="W10" s="1" t="s">
        <v>9</v>
      </c>
      <c r="X10" s="1" t="s">
        <v>36</v>
      </c>
    </row>
    <row r="11" spans="1:24" x14ac:dyDescent="0.3">
      <c r="A11" s="6">
        <f t="shared" ref="A11:A42" si="0">W11</f>
        <v>1</v>
      </c>
      <c r="B11" s="6" t="s">
        <v>174</v>
      </c>
      <c r="C11" s="6" t="s">
        <v>175</v>
      </c>
      <c r="D11" s="6" t="s">
        <v>58</v>
      </c>
      <c r="E11" s="6">
        <v>1</v>
      </c>
      <c r="F11" s="17">
        <f t="shared" ref="F11:F39" si="1">IF(E11=0,,($E$9-E11)*$E$7*100/$E$9)</f>
        <v>192.85714285714286</v>
      </c>
      <c r="G11" s="6">
        <v>3</v>
      </c>
      <c r="H11" s="17">
        <f t="shared" ref="H11:H57" si="2">IF(G11=0,,($G$9-G11)*$G$7*100/$G$9)</f>
        <v>178.57142857142858</v>
      </c>
      <c r="I11" s="6"/>
      <c r="J11" s="7">
        <f t="shared" ref="J11:J33" si="3">IF(I11=0,,($I$9-I11)*$I$7*100/$I$9)</f>
        <v>0</v>
      </c>
      <c r="K11" s="6">
        <v>8</v>
      </c>
      <c r="L11" s="7">
        <f t="shared" ref="L11:L39" si="4">IF(K11=0,,($K$9-K11)*$K$7*100/$K$9)</f>
        <v>158.97435897435898</v>
      </c>
      <c r="M11" s="6">
        <v>3</v>
      </c>
      <c r="N11" s="7">
        <f t="shared" ref="N11:N56" si="5">IF(M11=0,,($M$9-M11)*$M$7*100/$M$9)</f>
        <v>176.92307692307693</v>
      </c>
      <c r="O11" s="6">
        <v>2</v>
      </c>
      <c r="P11" s="17">
        <f t="shared" ref="P11:P56" si="6">IF(O11=0,,($O$9-O11)*$O$7*100/$O$9)</f>
        <v>180</v>
      </c>
      <c r="Q11" s="6">
        <v>1</v>
      </c>
      <c r="R11" s="17">
        <f t="shared" ref="R11:R55" si="7">IF(Q11=0,,($Q$9-Q11)*$Q$7*100/$Q$9)</f>
        <v>287.5</v>
      </c>
      <c r="S11" s="6"/>
      <c r="T11" s="7">
        <f t="shared" ref="T11:T42" si="8">IF(S11=0,,($S$9-S11)*$S$7*100/$S$9)</f>
        <v>0</v>
      </c>
      <c r="U11" s="8">
        <f>R11+P11+H11+F11</f>
        <v>838.92857142857144</v>
      </c>
      <c r="V11" s="6">
        <f t="shared" ref="V11:V42" si="9">COUNTA(E11,I11,K11,M11,O11,S11,Q11,G11)</f>
        <v>6</v>
      </c>
      <c r="W11" s="6">
        <f t="shared" ref="W11:W42" si="10">ROW(B11)-10</f>
        <v>1</v>
      </c>
      <c r="X11" s="13">
        <f t="shared" ref="X11:X42" si="11">V11/$G$3</f>
        <v>0.75</v>
      </c>
    </row>
    <row r="12" spans="1:24" x14ac:dyDescent="0.3">
      <c r="A12" s="5">
        <f t="shared" si="0"/>
        <v>2</v>
      </c>
      <c r="B12" s="6" t="s">
        <v>70</v>
      </c>
      <c r="C12" s="6" t="s">
        <v>71</v>
      </c>
      <c r="D12" s="6" t="s">
        <v>48</v>
      </c>
      <c r="E12" s="6">
        <v>3</v>
      </c>
      <c r="F12" s="17">
        <f t="shared" si="1"/>
        <v>178.57142857142858</v>
      </c>
      <c r="G12" s="6">
        <v>3</v>
      </c>
      <c r="H12" s="7">
        <f t="shared" si="2"/>
        <v>178.57142857142858</v>
      </c>
      <c r="I12" s="6"/>
      <c r="J12" s="7">
        <f t="shared" si="3"/>
        <v>0</v>
      </c>
      <c r="K12" s="6">
        <v>2</v>
      </c>
      <c r="L12" s="17">
        <f t="shared" si="4"/>
        <v>189.74358974358975</v>
      </c>
      <c r="M12" s="6"/>
      <c r="N12" s="7">
        <f t="shared" si="5"/>
        <v>0</v>
      </c>
      <c r="O12" s="6">
        <v>1</v>
      </c>
      <c r="P12" s="17">
        <f t="shared" si="6"/>
        <v>190</v>
      </c>
      <c r="Q12" s="6">
        <v>2</v>
      </c>
      <c r="R12" s="17">
        <f t="shared" si="7"/>
        <v>275</v>
      </c>
      <c r="S12" s="6"/>
      <c r="T12" s="7">
        <f t="shared" si="8"/>
        <v>0</v>
      </c>
      <c r="U12" s="8">
        <f>R12+P12+L12+F12</f>
        <v>833.31501831501828</v>
      </c>
      <c r="V12" s="6">
        <f t="shared" si="9"/>
        <v>5</v>
      </c>
      <c r="W12" s="6">
        <f t="shared" si="10"/>
        <v>2</v>
      </c>
      <c r="X12" s="13">
        <f t="shared" si="11"/>
        <v>0.625</v>
      </c>
    </row>
    <row r="13" spans="1:24" x14ac:dyDescent="0.3">
      <c r="A13" s="5">
        <f t="shared" si="0"/>
        <v>3</v>
      </c>
      <c r="B13" s="6" t="s">
        <v>176</v>
      </c>
      <c r="C13" s="6" t="s">
        <v>177</v>
      </c>
      <c r="D13" s="6" t="s">
        <v>48</v>
      </c>
      <c r="E13" s="6">
        <v>3</v>
      </c>
      <c r="F13" s="17">
        <f t="shared" si="1"/>
        <v>178.57142857142858</v>
      </c>
      <c r="G13" s="6">
        <v>6</v>
      </c>
      <c r="H13" s="7">
        <f t="shared" si="2"/>
        <v>157.14285714285714</v>
      </c>
      <c r="I13" s="6">
        <v>1</v>
      </c>
      <c r="J13" s="17">
        <f t="shared" si="3"/>
        <v>190</v>
      </c>
      <c r="K13" s="6">
        <v>9</v>
      </c>
      <c r="L13" s="7">
        <f t="shared" si="4"/>
        <v>153.84615384615384</v>
      </c>
      <c r="M13" s="6">
        <v>2</v>
      </c>
      <c r="N13" s="17">
        <f t="shared" si="5"/>
        <v>184.61538461538461</v>
      </c>
      <c r="O13" s="6">
        <v>8</v>
      </c>
      <c r="P13" s="7">
        <f t="shared" si="6"/>
        <v>120</v>
      </c>
      <c r="Q13" s="6">
        <v>3</v>
      </c>
      <c r="R13" s="17">
        <f t="shared" si="7"/>
        <v>262.5</v>
      </c>
      <c r="S13" s="6"/>
      <c r="T13" s="7">
        <f t="shared" si="8"/>
        <v>0</v>
      </c>
      <c r="U13" s="8">
        <f>F13+J13+N13+R13</f>
        <v>815.6868131868132</v>
      </c>
      <c r="V13" s="6">
        <f t="shared" si="9"/>
        <v>7</v>
      </c>
      <c r="W13" s="6">
        <f t="shared" si="10"/>
        <v>3</v>
      </c>
      <c r="X13" s="13">
        <f t="shared" si="11"/>
        <v>0.875</v>
      </c>
    </row>
    <row r="14" spans="1:24" x14ac:dyDescent="0.3">
      <c r="A14" s="5">
        <f t="shared" si="0"/>
        <v>4</v>
      </c>
      <c r="B14" s="6" t="s">
        <v>119</v>
      </c>
      <c r="C14" s="6" t="s">
        <v>120</v>
      </c>
      <c r="D14" s="6" t="s">
        <v>65</v>
      </c>
      <c r="E14" s="6">
        <v>5</v>
      </c>
      <c r="F14" s="17">
        <f t="shared" si="1"/>
        <v>164.28571428571428</v>
      </c>
      <c r="G14" s="6">
        <v>17</v>
      </c>
      <c r="H14" s="7">
        <f t="shared" si="2"/>
        <v>78.571428571428569</v>
      </c>
      <c r="I14" s="6"/>
      <c r="J14" s="7">
        <f t="shared" si="3"/>
        <v>0</v>
      </c>
      <c r="K14" s="6">
        <v>14</v>
      </c>
      <c r="L14" s="7">
        <f t="shared" si="4"/>
        <v>128.2051282051282</v>
      </c>
      <c r="M14" s="6">
        <v>6</v>
      </c>
      <c r="N14" s="17">
        <f t="shared" si="5"/>
        <v>153.84615384615384</v>
      </c>
      <c r="O14" s="6">
        <v>3</v>
      </c>
      <c r="P14" s="17">
        <f t="shared" si="6"/>
        <v>170</v>
      </c>
      <c r="Q14" s="6">
        <v>5</v>
      </c>
      <c r="R14" s="17">
        <f t="shared" si="7"/>
        <v>237.5</v>
      </c>
      <c r="S14" s="6"/>
      <c r="T14" s="7">
        <f t="shared" si="8"/>
        <v>0</v>
      </c>
      <c r="U14" s="8">
        <f>R14+P14+N14+F14</f>
        <v>725.63186813186803</v>
      </c>
      <c r="V14" s="6">
        <f t="shared" si="9"/>
        <v>6</v>
      </c>
      <c r="W14" s="6">
        <f t="shared" si="10"/>
        <v>4</v>
      </c>
      <c r="X14" s="13">
        <f t="shared" si="11"/>
        <v>0.75</v>
      </c>
    </row>
    <row r="15" spans="1:24" x14ac:dyDescent="0.3">
      <c r="A15" s="5">
        <f t="shared" si="0"/>
        <v>5</v>
      </c>
      <c r="B15" s="6" t="s">
        <v>178</v>
      </c>
      <c r="C15" s="6" t="s">
        <v>179</v>
      </c>
      <c r="D15" s="6" t="s">
        <v>48</v>
      </c>
      <c r="E15" s="6">
        <v>2</v>
      </c>
      <c r="F15" s="17">
        <f t="shared" si="1"/>
        <v>185.71428571428572</v>
      </c>
      <c r="G15" s="6"/>
      <c r="H15" s="7">
        <f t="shared" si="2"/>
        <v>0</v>
      </c>
      <c r="I15" s="6"/>
      <c r="J15" s="7">
        <f t="shared" si="3"/>
        <v>0</v>
      </c>
      <c r="K15" s="6">
        <v>6</v>
      </c>
      <c r="L15" s="17">
        <f t="shared" si="4"/>
        <v>169.23076923076923</v>
      </c>
      <c r="M15" s="6">
        <v>1</v>
      </c>
      <c r="N15" s="17">
        <f t="shared" si="5"/>
        <v>192.30769230769232</v>
      </c>
      <c r="O15" s="6">
        <v>3</v>
      </c>
      <c r="P15" s="17">
        <f t="shared" si="6"/>
        <v>170</v>
      </c>
      <c r="Q15" s="6"/>
      <c r="R15" s="7">
        <f t="shared" si="7"/>
        <v>0</v>
      </c>
      <c r="S15" s="6"/>
      <c r="T15" s="7">
        <f t="shared" si="8"/>
        <v>0</v>
      </c>
      <c r="U15" s="8">
        <f>F15+R15+N15+T15+H15+J15+L15+P15</f>
        <v>717.25274725274721</v>
      </c>
      <c r="V15" s="6">
        <f t="shared" si="9"/>
        <v>4</v>
      </c>
      <c r="W15" s="6">
        <f t="shared" si="10"/>
        <v>5</v>
      </c>
      <c r="X15" s="13">
        <f t="shared" si="11"/>
        <v>0.5</v>
      </c>
    </row>
    <row r="16" spans="1:24" x14ac:dyDescent="0.3">
      <c r="A16" s="5">
        <f t="shared" si="0"/>
        <v>6</v>
      </c>
      <c r="B16" s="6" t="s">
        <v>112</v>
      </c>
      <c r="C16" s="6" t="s">
        <v>113</v>
      </c>
      <c r="D16" s="6" t="s">
        <v>48</v>
      </c>
      <c r="E16" s="6">
        <v>7</v>
      </c>
      <c r="F16" s="17">
        <f t="shared" si="1"/>
        <v>150</v>
      </c>
      <c r="G16" s="6">
        <v>13</v>
      </c>
      <c r="H16" s="7">
        <f t="shared" si="2"/>
        <v>107.14285714285714</v>
      </c>
      <c r="I16" s="6">
        <v>3</v>
      </c>
      <c r="J16" s="17">
        <f t="shared" si="3"/>
        <v>170</v>
      </c>
      <c r="K16" s="6">
        <v>10</v>
      </c>
      <c r="L16" s="17">
        <f t="shared" si="4"/>
        <v>148.71794871794873</v>
      </c>
      <c r="M16" s="6">
        <v>11</v>
      </c>
      <c r="N16" s="7">
        <f t="shared" si="5"/>
        <v>115.38461538461539</v>
      </c>
      <c r="O16" s="6"/>
      <c r="P16" s="7">
        <f t="shared" si="6"/>
        <v>0</v>
      </c>
      <c r="Q16" s="6">
        <v>7</v>
      </c>
      <c r="R16" s="17">
        <f t="shared" si="7"/>
        <v>212.5</v>
      </c>
      <c r="S16" s="6"/>
      <c r="T16" s="7">
        <f t="shared" si="8"/>
        <v>0</v>
      </c>
      <c r="U16" s="8">
        <f>R16+L16+J16+F16</f>
        <v>681.21794871794873</v>
      </c>
      <c r="V16" s="6">
        <f t="shared" si="9"/>
        <v>6</v>
      </c>
      <c r="W16" s="6">
        <f t="shared" si="10"/>
        <v>6</v>
      </c>
      <c r="X16" s="13">
        <f t="shared" si="11"/>
        <v>0.75</v>
      </c>
    </row>
    <row r="17" spans="1:24" x14ac:dyDescent="0.3">
      <c r="A17" s="5">
        <f t="shared" si="0"/>
        <v>7</v>
      </c>
      <c r="B17" s="6" t="s">
        <v>125</v>
      </c>
      <c r="C17" s="6" t="s">
        <v>126</v>
      </c>
      <c r="D17" s="6" t="s">
        <v>72</v>
      </c>
      <c r="E17" s="6">
        <v>6</v>
      </c>
      <c r="F17" s="17">
        <f t="shared" si="1"/>
        <v>157.14285714285714</v>
      </c>
      <c r="G17" s="6">
        <v>16</v>
      </c>
      <c r="H17" s="7">
        <f t="shared" si="2"/>
        <v>85.714285714285708</v>
      </c>
      <c r="I17" s="6">
        <v>2</v>
      </c>
      <c r="J17" s="17">
        <f t="shared" si="3"/>
        <v>180</v>
      </c>
      <c r="K17" s="6">
        <v>19</v>
      </c>
      <c r="L17" s="7">
        <f t="shared" si="4"/>
        <v>102.56410256410257</v>
      </c>
      <c r="M17" s="6">
        <v>3</v>
      </c>
      <c r="N17" s="17">
        <f t="shared" si="5"/>
        <v>176.92307692307693</v>
      </c>
      <c r="O17" s="6">
        <v>5</v>
      </c>
      <c r="P17" s="17">
        <f t="shared" si="6"/>
        <v>150</v>
      </c>
      <c r="Q17" s="6">
        <v>12</v>
      </c>
      <c r="R17" s="7">
        <f t="shared" si="7"/>
        <v>150</v>
      </c>
      <c r="S17" s="6"/>
      <c r="T17" s="7">
        <f t="shared" si="8"/>
        <v>0</v>
      </c>
      <c r="U17" s="8">
        <f>F17+J17+N17+P17</f>
        <v>664.06593406593402</v>
      </c>
      <c r="V17" s="6">
        <f t="shared" si="9"/>
        <v>7</v>
      </c>
      <c r="W17" s="6">
        <f t="shared" si="10"/>
        <v>7</v>
      </c>
      <c r="X17" s="13">
        <f t="shared" si="11"/>
        <v>0.875</v>
      </c>
    </row>
    <row r="18" spans="1:24" x14ac:dyDescent="0.3">
      <c r="A18" s="5">
        <f t="shared" si="0"/>
        <v>8</v>
      </c>
      <c r="B18" s="6" t="s">
        <v>154</v>
      </c>
      <c r="C18" s="6" t="s">
        <v>155</v>
      </c>
      <c r="D18" s="6" t="s">
        <v>259</v>
      </c>
      <c r="E18" s="6">
        <v>8</v>
      </c>
      <c r="F18" s="17">
        <f t="shared" si="1"/>
        <v>142.85714285714286</v>
      </c>
      <c r="G18" s="6"/>
      <c r="H18" s="7">
        <f t="shared" si="2"/>
        <v>0</v>
      </c>
      <c r="I18" s="6">
        <v>5</v>
      </c>
      <c r="J18" s="17">
        <f t="shared" si="3"/>
        <v>150</v>
      </c>
      <c r="K18" s="6"/>
      <c r="L18" s="7">
        <f t="shared" si="4"/>
        <v>0</v>
      </c>
      <c r="M18" s="6">
        <v>5</v>
      </c>
      <c r="N18" s="17">
        <f t="shared" si="5"/>
        <v>161.53846153846155</v>
      </c>
      <c r="O18" s="6">
        <v>6</v>
      </c>
      <c r="P18" s="7">
        <f t="shared" si="6"/>
        <v>140</v>
      </c>
      <c r="Q18" s="6">
        <v>8</v>
      </c>
      <c r="R18" s="17">
        <f t="shared" si="7"/>
        <v>200</v>
      </c>
      <c r="S18" s="6"/>
      <c r="T18" s="7">
        <f t="shared" si="8"/>
        <v>0</v>
      </c>
      <c r="U18" s="8">
        <f>R18+N18+J18+F18</f>
        <v>654.39560439560444</v>
      </c>
      <c r="V18" s="6">
        <f t="shared" si="9"/>
        <v>5</v>
      </c>
      <c r="W18" s="6">
        <f t="shared" si="10"/>
        <v>8</v>
      </c>
      <c r="X18" s="13">
        <f t="shared" si="11"/>
        <v>0.625</v>
      </c>
    </row>
    <row r="19" spans="1:24" x14ac:dyDescent="0.3">
      <c r="A19" s="5">
        <f t="shared" si="0"/>
        <v>9</v>
      </c>
      <c r="B19" s="6" t="s">
        <v>115</v>
      </c>
      <c r="C19" s="6" t="s">
        <v>116</v>
      </c>
      <c r="D19" s="6" t="s">
        <v>72</v>
      </c>
      <c r="E19" s="6">
        <v>14</v>
      </c>
      <c r="F19" s="17">
        <f t="shared" si="1"/>
        <v>100</v>
      </c>
      <c r="G19" s="6">
        <v>10</v>
      </c>
      <c r="H19" s="17">
        <f t="shared" si="2"/>
        <v>128.57142857142858</v>
      </c>
      <c r="I19" s="6"/>
      <c r="J19" s="7">
        <f t="shared" si="3"/>
        <v>0</v>
      </c>
      <c r="K19" s="6"/>
      <c r="L19" s="7">
        <f t="shared" si="4"/>
        <v>0</v>
      </c>
      <c r="M19" s="6">
        <v>7</v>
      </c>
      <c r="N19" s="17">
        <f t="shared" si="5"/>
        <v>146.15384615384616</v>
      </c>
      <c r="O19" s="6">
        <v>12</v>
      </c>
      <c r="P19" s="7">
        <f t="shared" si="6"/>
        <v>80</v>
      </c>
      <c r="Q19" s="6">
        <v>11</v>
      </c>
      <c r="R19" s="17">
        <f t="shared" si="7"/>
        <v>162.5</v>
      </c>
      <c r="S19" s="6"/>
      <c r="T19" s="7">
        <f t="shared" si="8"/>
        <v>0</v>
      </c>
      <c r="U19" s="8">
        <f>R19+N19+H19+F19</f>
        <v>537.22527472527474</v>
      </c>
      <c r="V19" s="6">
        <f t="shared" si="9"/>
        <v>5</v>
      </c>
      <c r="W19" s="6">
        <f t="shared" si="10"/>
        <v>9</v>
      </c>
      <c r="X19" s="13">
        <f t="shared" si="11"/>
        <v>0.625</v>
      </c>
    </row>
    <row r="20" spans="1:24" x14ac:dyDescent="0.3">
      <c r="A20" s="5">
        <f t="shared" si="0"/>
        <v>10</v>
      </c>
      <c r="B20" s="6" t="s">
        <v>186</v>
      </c>
      <c r="C20" s="6" t="s">
        <v>187</v>
      </c>
      <c r="D20" s="6" t="s">
        <v>48</v>
      </c>
      <c r="E20" s="6">
        <v>12</v>
      </c>
      <c r="F20" s="17">
        <f t="shared" si="1"/>
        <v>114.28571428571429</v>
      </c>
      <c r="G20" s="6">
        <v>15</v>
      </c>
      <c r="H20" s="7">
        <f t="shared" si="2"/>
        <v>92.857142857142861</v>
      </c>
      <c r="I20" s="6">
        <v>6</v>
      </c>
      <c r="J20" s="17">
        <f t="shared" si="3"/>
        <v>140</v>
      </c>
      <c r="K20" s="6">
        <v>11</v>
      </c>
      <c r="L20" s="17">
        <f t="shared" si="4"/>
        <v>143.58974358974359</v>
      </c>
      <c r="M20" s="6">
        <v>15</v>
      </c>
      <c r="N20" s="7">
        <f t="shared" si="5"/>
        <v>84.615384615384613</v>
      </c>
      <c r="O20" s="6">
        <v>10</v>
      </c>
      <c r="P20" s="7">
        <f t="shared" si="6"/>
        <v>100</v>
      </c>
      <c r="Q20" s="6">
        <v>13</v>
      </c>
      <c r="R20" s="17">
        <f t="shared" si="7"/>
        <v>137.5</v>
      </c>
      <c r="S20" s="6"/>
      <c r="T20" s="7">
        <f t="shared" si="8"/>
        <v>0</v>
      </c>
      <c r="U20" s="8">
        <f>F20+J20+L20+R20</f>
        <v>535.37545787545787</v>
      </c>
      <c r="V20" s="6">
        <f t="shared" si="9"/>
        <v>7</v>
      </c>
      <c r="W20" s="6">
        <f t="shared" si="10"/>
        <v>10</v>
      </c>
      <c r="X20" s="13">
        <f t="shared" si="11"/>
        <v>0.875</v>
      </c>
    </row>
    <row r="21" spans="1:24" x14ac:dyDescent="0.3">
      <c r="A21" s="5">
        <f t="shared" si="0"/>
        <v>11</v>
      </c>
      <c r="B21" s="6" t="s">
        <v>157</v>
      </c>
      <c r="C21" s="6" t="s">
        <v>84</v>
      </c>
      <c r="D21" s="6" t="s">
        <v>72</v>
      </c>
      <c r="E21" s="6">
        <v>27</v>
      </c>
      <c r="F21" s="7">
        <f t="shared" si="1"/>
        <v>7.1428571428571432</v>
      </c>
      <c r="G21" s="6">
        <v>18</v>
      </c>
      <c r="H21" s="7">
        <f t="shared" si="2"/>
        <v>71.428571428571431</v>
      </c>
      <c r="I21" s="6">
        <v>17</v>
      </c>
      <c r="J21" s="7">
        <f t="shared" si="3"/>
        <v>30</v>
      </c>
      <c r="K21" s="6">
        <v>21</v>
      </c>
      <c r="L21" s="17">
        <f t="shared" si="4"/>
        <v>92.307692307692307</v>
      </c>
      <c r="M21" s="6">
        <v>10</v>
      </c>
      <c r="N21" s="17">
        <f t="shared" si="5"/>
        <v>123.07692307692308</v>
      </c>
      <c r="O21" s="6">
        <v>7</v>
      </c>
      <c r="P21" s="17">
        <f t="shared" si="6"/>
        <v>130</v>
      </c>
      <c r="Q21" s="6">
        <v>9</v>
      </c>
      <c r="R21" s="17">
        <f t="shared" si="7"/>
        <v>187.5</v>
      </c>
      <c r="S21" s="6"/>
      <c r="T21" s="7">
        <f t="shared" si="8"/>
        <v>0</v>
      </c>
      <c r="U21" s="8">
        <f>P21+N21+L21+R21</f>
        <v>532.88461538461547</v>
      </c>
      <c r="V21" s="6">
        <f t="shared" si="9"/>
        <v>7</v>
      </c>
      <c r="W21" s="6">
        <f t="shared" si="10"/>
        <v>11</v>
      </c>
      <c r="X21" s="13">
        <f t="shared" si="11"/>
        <v>0.875</v>
      </c>
    </row>
    <row r="22" spans="1:24" x14ac:dyDescent="0.3">
      <c r="A22" s="5">
        <f t="shared" si="0"/>
        <v>12</v>
      </c>
      <c r="B22" s="6" t="s">
        <v>158</v>
      </c>
      <c r="C22" s="6" t="s">
        <v>159</v>
      </c>
      <c r="D22" s="6" t="s">
        <v>48</v>
      </c>
      <c r="E22" s="6">
        <v>9</v>
      </c>
      <c r="F22" s="17">
        <f t="shared" si="1"/>
        <v>135.71428571428572</v>
      </c>
      <c r="G22" s="6"/>
      <c r="H22" s="7">
        <f t="shared" si="2"/>
        <v>0</v>
      </c>
      <c r="I22" s="6">
        <v>16</v>
      </c>
      <c r="J22" s="7">
        <f t="shared" si="3"/>
        <v>40</v>
      </c>
      <c r="K22" s="6"/>
      <c r="L22" s="7">
        <f t="shared" si="4"/>
        <v>0</v>
      </c>
      <c r="M22" s="6">
        <v>12</v>
      </c>
      <c r="N22" s="17">
        <f t="shared" si="5"/>
        <v>107.69230769230769</v>
      </c>
      <c r="O22" s="6">
        <v>14</v>
      </c>
      <c r="P22" s="17">
        <f t="shared" si="6"/>
        <v>60</v>
      </c>
      <c r="Q22" s="6">
        <v>6</v>
      </c>
      <c r="R22" s="17">
        <f t="shared" si="7"/>
        <v>225</v>
      </c>
      <c r="S22" s="6"/>
      <c r="T22" s="7">
        <f t="shared" si="8"/>
        <v>0</v>
      </c>
      <c r="U22" s="8">
        <f>R22+P22+N22+F22</f>
        <v>528.4065934065934</v>
      </c>
      <c r="V22" s="6">
        <f t="shared" si="9"/>
        <v>5</v>
      </c>
      <c r="W22" s="6">
        <f t="shared" si="10"/>
        <v>12</v>
      </c>
      <c r="X22" s="13">
        <f t="shared" si="11"/>
        <v>0.625</v>
      </c>
    </row>
    <row r="23" spans="1:24" x14ac:dyDescent="0.3">
      <c r="A23" s="5">
        <f t="shared" si="0"/>
        <v>13</v>
      </c>
      <c r="B23" s="6" t="s">
        <v>121</v>
      </c>
      <c r="C23" s="6" t="s">
        <v>122</v>
      </c>
      <c r="D23" s="6" t="s">
        <v>49</v>
      </c>
      <c r="E23" s="6">
        <v>18</v>
      </c>
      <c r="F23" s="17">
        <f t="shared" si="1"/>
        <v>71.428571428571431</v>
      </c>
      <c r="G23" s="6"/>
      <c r="H23" s="7">
        <f t="shared" si="2"/>
        <v>0</v>
      </c>
      <c r="I23" s="6">
        <v>3</v>
      </c>
      <c r="J23" s="17">
        <f t="shared" si="3"/>
        <v>170</v>
      </c>
      <c r="K23" s="6"/>
      <c r="L23" s="7">
        <f t="shared" si="4"/>
        <v>0</v>
      </c>
      <c r="M23" s="6">
        <v>8</v>
      </c>
      <c r="N23" s="17">
        <f t="shared" si="5"/>
        <v>138.46153846153845</v>
      </c>
      <c r="O23" s="6">
        <v>15</v>
      </c>
      <c r="P23" s="7">
        <f t="shared" si="6"/>
        <v>50</v>
      </c>
      <c r="Q23" s="6">
        <v>20</v>
      </c>
      <c r="R23" s="17">
        <f t="shared" si="7"/>
        <v>50</v>
      </c>
      <c r="S23" s="6"/>
      <c r="T23" s="7">
        <f t="shared" si="8"/>
        <v>0</v>
      </c>
      <c r="U23" s="8">
        <f>R23+N23+J23+F23</f>
        <v>429.8901098901099</v>
      </c>
      <c r="V23" s="6">
        <f t="shared" si="9"/>
        <v>5</v>
      </c>
      <c r="W23" s="6">
        <f t="shared" si="10"/>
        <v>13</v>
      </c>
      <c r="X23" s="13">
        <f t="shared" si="11"/>
        <v>0.625</v>
      </c>
    </row>
    <row r="24" spans="1:24" x14ac:dyDescent="0.3">
      <c r="A24" s="5">
        <f t="shared" si="0"/>
        <v>14</v>
      </c>
      <c r="B24" s="6" t="s">
        <v>185</v>
      </c>
      <c r="C24" s="6" t="s">
        <v>179</v>
      </c>
      <c r="D24" s="6" t="s">
        <v>252</v>
      </c>
      <c r="E24" s="6">
        <v>25</v>
      </c>
      <c r="F24" s="7">
        <f t="shared" si="1"/>
        <v>21.428571428571427</v>
      </c>
      <c r="G24" s="6"/>
      <c r="H24" s="7">
        <f t="shared" si="2"/>
        <v>0</v>
      </c>
      <c r="I24" s="6">
        <v>10</v>
      </c>
      <c r="J24" s="17">
        <f t="shared" si="3"/>
        <v>100</v>
      </c>
      <c r="K24" s="6">
        <v>26</v>
      </c>
      <c r="L24" s="17">
        <f t="shared" si="4"/>
        <v>66.666666666666671</v>
      </c>
      <c r="M24" s="6">
        <v>9</v>
      </c>
      <c r="N24" s="17">
        <f t="shared" si="5"/>
        <v>130.76923076923077</v>
      </c>
      <c r="O24" s="6"/>
      <c r="P24" s="7">
        <f t="shared" si="6"/>
        <v>0</v>
      </c>
      <c r="Q24" s="6">
        <v>14</v>
      </c>
      <c r="R24" s="17">
        <f t="shared" si="7"/>
        <v>125</v>
      </c>
      <c r="S24" s="6"/>
      <c r="T24" s="7">
        <f t="shared" si="8"/>
        <v>0</v>
      </c>
      <c r="U24" s="8">
        <f>R24+N24+L24+J24</f>
        <v>422.43589743589746</v>
      </c>
      <c r="V24" s="6">
        <f t="shared" si="9"/>
        <v>5</v>
      </c>
      <c r="W24" s="6">
        <f t="shared" si="10"/>
        <v>14</v>
      </c>
      <c r="X24" s="13">
        <f t="shared" si="11"/>
        <v>0.625</v>
      </c>
    </row>
    <row r="25" spans="1:24" x14ac:dyDescent="0.3">
      <c r="A25" s="5">
        <f t="shared" si="0"/>
        <v>15</v>
      </c>
      <c r="B25" s="6" t="s">
        <v>184</v>
      </c>
      <c r="C25" s="6" t="s">
        <v>263</v>
      </c>
      <c r="D25" s="6" t="s">
        <v>259</v>
      </c>
      <c r="E25" s="6">
        <v>19</v>
      </c>
      <c r="F25" s="7">
        <f t="shared" si="1"/>
        <v>64.285714285714292</v>
      </c>
      <c r="G25" s="6"/>
      <c r="H25" s="7">
        <f t="shared" si="2"/>
        <v>0</v>
      </c>
      <c r="I25" s="6">
        <v>12</v>
      </c>
      <c r="J25" s="7">
        <f t="shared" si="3"/>
        <v>80</v>
      </c>
      <c r="K25" s="6"/>
      <c r="L25" s="7">
        <f t="shared" si="4"/>
        <v>0</v>
      </c>
      <c r="M25" s="6">
        <v>16</v>
      </c>
      <c r="N25" s="7">
        <f t="shared" si="5"/>
        <v>76.92307692307692</v>
      </c>
      <c r="O25" s="6"/>
      <c r="P25" s="7">
        <f t="shared" si="6"/>
        <v>0</v>
      </c>
      <c r="Q25" s="6">
        <v>10</v>
      </c>
      <c r="R25" s="7">
        <f t="shared" si="7"/>
        <v>175</v>
      </c>
      <c r="S25" s="6"/>
      <c r="T25" s="7">
        <f t="shared" si="8"/>
        <v>0</v>
      </c>
      <c r="U25" s="8">
        <f>F25+R25+N25+T25+H25+J25+L25+P25</f>
        <v>396.20879120879118</v>
      </c>
      <c r="V25" s="6">
        <f t="shared" si="9"/>
        <v>4</v>
      </c>
      <c r="W25" s="6">
        <f t="shared" si="10"/>
        <v>15</v>
      </c>
      <c r="X25" s="13">
        <f t="shared" si="11"/>
        <v>0.5</v>
      </c>
    </row>
    <row r="26" spans="1:24" x14ac:dyDescent="0.3">
      <c r="A26" s="5">
        <f t="shared" si="0"/>
        <v>16</v>
      </c>
      <c r="B26" s="6" t="s">
        <v>218</v>
      </c>
      <c r="C26" s="6" t="s">
        <v>217</v>
      </c>
      <c r="D26" s="6" t="s">
        <v>72</v>
      </c>
      <c r="E26" s="6">
        <v>13</v>
      </c>
      <c r="F26" s="17">
        <f t="shared" si="1"/>
        <v>107.14285714285714</v>
      </c>
      <c r="G26" s="6">
        <v>21</v>
      </c>
      <c r="H26" s="7">
        <f t="shared" si="2"/>
        <v>50</v>
      </c>
      <c r="I26" s="6">
        <v>9</v>
      </c>
      <c r="J26" s="17">
        <f t="shared" si="3"/>
        <v>110</v>
      </c>
      <c r="K26" s="6">
        <v>29</v>
      </c>
      <c r="L26" s="7">
        <f t="shared" si="4"/>
        <v>51.282051282051285</v>
      </c>
      <c r="M26" s="6">
        <v>17</v>
      </c>
      <c r="N26" s="17">
        <f t="shared" si="5"/>
        <v>69.230769230769226</v>
      </c>
      <c r="O26" s="6">
        <v>11</v>
      </c>
      <c r="P26" s="17">
        <f t="shared" si="6"/>
        <v>90</v>
      </c>
      <c r="Q26" s="6"/>
      <c r="R26" s="7">
        <f t="shared" si="7"/>
        <v>0</v>
      </c>
      <c r="S26" s="6"/>
      <c r="T26" s="7">
        <f t="shared" si="8"/>
        <v>0</v>
      </c>
      <c r="U26" s="8">
        <f>P26+N26+J26+F26</f>
        <v>376.37362637362639</v>
      </c>
      <c r="V26" s="6">
        <f t="shared" si="9"/>
        <v>6</v>
      </c>
      <c r="W26" s="6">
        <f t="shared" si="10"/>
        <v>16</v>
      </c>
      <c r="X26" s="13">
        <f t="shared" si="11"/>
        <v>0.75</v>
      </c>
    </row>
    <row r="27" spans="1:24" x14ac:dyDescent="0.3">
      <c r="A27" s="5">
        <f t="shared" si="0"/>
        <v>17</v>
      </c>
      <c r="B27" s="6" t="s">
        <v>262</v>
      </c>
      <c r="C27" s="15" t="s">
        <v>195</v>
      </c>
      <c r="D27" s="6" t="s">
        <v>58</v>
      </c>
      <c r="E27" s="6">
        <v>17</v>
      </c>
      <c r="F27" s="7">
        <f t="shared" si="1"/>
        <v>78.571428571428569</v>
      </c>
      <c r="G27" s="6"/>
      <c r="H27" s="7">
        <f t="shared" si="2"/>
        <v>0</v>
      </c>
      <c r="I27" s="6">
        <v>7</v>
      </c>
      <c r="J27" s="7">
        <f t="shared" si="3"/>
        <v>130</v>
      </c>
      <c r="K27" s="6"/>
      <c r="L27" s="7">
        <f t="shared" si="4"/>
        <v>0</v>
      </c>
      <c r="M27" s="6">
        <v>14</v>
      </c>
      <c r="N27" s="7">
        <f t="shared" si="5"/>
        <v>92.307692307692307</v>
      </c>
      <c r="O27" s="6">
        <v>17</v>
      </c>
      <c r="P27" s="7">
        <f t="shared" si="6"/>
        <v>30</v>
      </c>
      <c r="Q27" s="6"/>
      <c r="R27" s="7">
        <f t="shared" si="7"/>
        <v>0</v>
      </c>
      <c r="S27" s="6"/>
      <c r="T27" s="7">
        <f t="shared" si="8"/>
        <v>0</v>
      </c>
      <c r="U27" s="8">
        <f>F27+R27+N27+T27+H27+J27+L27+P27</f>
        <v>330.87912087912088</v>
      </c>
      <c r="V27" s="6">
        <f t="shared" si="9"/>
        <v>4</v>
      </c>
      <c r="W27" s="6">
        <f t="shared" si="10"/>
        <v>17</v>
      </c>
      <c r="X27" s="13">
        <f t="shared" si="11"/>
        <v>0.5</v>
      </c>
    </row>
    <row r="28" spans="1:24" x14ac:dyDescent="0.3">
      <c r="A28" s="5">
        <f t="shared" si="0"/>
        <v>18</v>
      </c>
      <c r="B28" s="6" t="s">
        <v>338</v>
      </c>
      <c r="C28" s="6" t="s">
        <v>164</v>
      </c>
      <c r="D28" s="6" t="s">
        <v>65</v>
      </c>
      <c r="E28" s="6"/>
      <c r="F28" s="7">
        <f t="shared" si="1"/>
        <v>0</v>
      </c>
      <c r="G28" s="6">
        <v>19</v>
      </c>
      <c r="H28" s="7">
        <f t="shared" si="2"/>
        <v>64.285714285714292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>
        <v>3</v>
      </c>
      <c r="R28" s="7">
        <f t="shared" si="7"/>
        <v>262.5</v>
      </c>
      <c r="S28" s="6"/>
      <c r="T28" s="7">
        <f t="shared" si="8"/>
        <v>0</v>
      </c>
      <c r="U28" s="8">
        <f>F28+R28+N28+T28+H28+J28+L28+P28</f>
        <v>326.78571428571428</v>
      </c>
      <c r="V28" s="6">
        <f t="shared" si="9"/>
        <v>2</v>
      </c>
      <c r="W28" s="6">
        <f t="shared" si="10"/>
        <v>18</v>
      </c>
      <c r="X28" s="13">
        <f t="shared" si="11"/>
        <v>0.25</v>
      </c>
    </row>
    <row r="29" spans="1:24" x14ac:dyDescent="0.3">
      <c r="A29" s="5">
        <f t="shared" si="0"/>
        <v>19</v>
      </c>
      <c r="B29" s="6" t="s">
        <v>261</v>
      </c>
      <c r="C29" s="6" t="s">
        <v>208</v>
      </c>
      <c r="D29" s="6" t="s">
        <v>252</v>
      </c>
      <c r="E29" s="6">
        <v>16</v>
      </c>
      <c r="F29" s="7">
        <f t="shared" si="1"/>
        <v>85.714285714285708</v>
      </c>
      <c r="G29" s="6"/>
      <c r="H29" s="7">
        <f t="shared" si="2"/>
        <v>0</v>
      </c>
      <c r="I29" s="6">
        <v>15</v>
      </c>
      <c r="J29" s="7">
        <f t="shared" si="3"/>
        <v>50</v>
      </c>
      <c r="K29" s="6"/>
      <c r="L29" s="7">
        <f t="shared" si="4"/>
        <v>0</v>
      </c>
      <c r="M29" s="6">
        <v>13</v>
      </c>
      <c r="N29" s="7">
        <f t="shared" si="5"/>
        <v>100</v>
      </c>
      <c r="O29" s="6">
        <v>13</v>
      </c>
      <c r="P29" s="7">
        <f t="shared" si="6"/>
        <v>70</v>
      </c>
      <c r="Q29" s="6"/>
      <c r="R29" s="7">
        <f t="shared" si="7"/>
        <v>0</v>
      </c>
      <c r="S29" s="6"/>
      <c r="T29" s="7">
        <f t="shared" si="8"/>
        <v>0</v>
      </c>
      <c r="U29" s="8">
        <f>F29+H29+J29+N29</f>
        <v>235.71428571428572</v>
      </c>
      <c r="V29" s="6">
        <f t="shared" si="9"/>
        <v>4</v>
      </c>
      <c r="W29" s="6">
        <f t="shared" si="10"/>
        <v>19</v>
      </c>
      <c r="X29" s="13">
        <f t="shared" si="11"/>
        <v>0.5</v>
      </c>
    </row>
    <row r="30" spans="1:24" x14ac:dyDescent="0.3">
      <c r="A30" s="5">
        <f t="shared" si="0"/>
        <v>20</v>
      </c>
      <c r="B30" s="6" t="s">
        <v>160</v>
      </c>
      <c r="C30" s="6" t="s">
        <v>161</v>
      </c>
      <c r="D30" s="6" t="s">
        <v>72</v>
      </c>
      <c r="E30" s="6">
        <v>26</v>
      </c>
      <c r="F30" s="7">
        <f t="shared" si="1"/>
        <v>14.285714285714286</v>
      </c>
      <c r="G30" s="6">
        <v>26</v>
      </c>
      <c r="H30" s="17">
        <f t="shared" si="2"/>
        <v>14.285714285714286</v>
      </c>
      <c r="I30" s="6">
        <v>13</v>
      </c>
      <c r="J30" s="17">
        <f t="shared" si="3"/>
        <v>70</v>
      </c>
      <c r="K30" s="6">
        <v>22</v>
      </c>
      <c r="L30" s="17">
        <f t="shared" si="4"/>
        <v>87.179487179487182</v>
      </c>
      <c r="M30" s="6">
        <v>18</v>
      </c>
      <c r="N30" s="17">
        <f t="shared" si="5"/>
        <v>61.53846153846154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>N30+L30+J30+H30</f>
        <v>233.00366300366301</v>
      </c>
      <c r="V30" s="6">
        <f t="shared" si="9"/>
        <v>5</v>
      </c>
      <c r="W30" s="6">
        <f t="shared" si="10"/>
        <v>20</v>
      </c>
      <c r="X30" s="13">
        <f t="shared" si="11"/>
        <v>0.625</v>
      </c>
    </row>
    <row r="31" spans="1:24" x14ac:dyDescent="0.3">
      <c r="A31" s="5">
        <f t="shared" si="0"/>
        <v>21</v>
      </c>
      <c r="B31" s="6" t="s">
        <v>260</v>
      </c>
      <c r="C31" s="6" t="s">
        <v>57</v>
      </c>
      <c r="D31" s="6" t="s">
        <v>48</v>
      </c>
      <c r="E31" s="6">
        <v>10</v>
      </c>
      <c r="F31" s="7">
        <f t="shared" si="1"/>
        <v>128.57142857142858</v>
      </c>
      <c r="G31" s="6"/>
      <c r="H31" s="7">
        <f t="shared" si="2"/>
        <v>0</v>
      </c>
      <c r="I31" s="6">
        <v>14</v>
      </c>
      <c r="J31" s="7">
        <f t="shared" si="3"/>
        <v>60</v>
      </c>
      <c r="K31" s="6"/>
      <c r="L31" s="7">
        <f t="shared" si="4"/>
        <v>0</v>
      </c>
      <c r="M31" s="6"/>
      <c r="N31" s="7">
        <f t="shared" si="5"/>
        <v>0</v>
      </c>
      <c r="O31" s="6">
        <v>16</v>
      </c>
      <c r="P31" s="7">
        <f t="shared" si="6"/>
        <v>40</v>
      </c>
      <c r="Q31" s="6"/>
      <c r="R31" s="7">
        <f t="shared" si="7"/>
        <v>0</v>
      </c>
      <c r="S31" s="6"/>
      <c r="T31" s="7">
        <f t="shared" si="8"/>
        <v>0</v>
      </c>
      <c r="U31" s="8">
        <f>F31+R31+N31+T31+H31+J31+L31+P31</f>
        <v>228.57142857142858</v>
      </c>
      <c r="V31" s="6">
        <f t="shared" si="9"/>
        <v>3</v>
      </c>
      <c r="W31" s="6">
        <f t="shared" si="10"/>
        <v>21</v>
      </c>
      <c r="X31" s="13">
        <f t="shared" si="11"/>
        <v>0.375</v>
      </c>
    </row>
    <row r="32" spans="1:24" x14ac:dyDescent="0.3">
      <c r="A32" s="5">
        <f t="shared" si="0"/>
        <v>22</v>
      </c>
      <c r="B32" s="6" t="s">
        <v>193</v>
      </c>
      <c r="C32" s="6" t="s">
        <v>71</v>
      </c>
      <c r="D32" s="6" t="s">
        <v>48</v>
      </c>
      <c r="E32" s="6">
        <v>15</v>
      </c>
      <c r="F32" s="7">
        <f t="shared" si="1"/>
        <v>92.857142857142861</v>
      </c>
      <c r="G32" s="6">
        <v>22</v>
      </c>
      <c r="H32" s="7">
        <f t="shared" si="2"/>
        <v>42.857142857142854</v>
      </c>
      <c r="I32" s="6"/>
      <c r="J32" s="7">
        <f t="shared" si="3"/>
        <v>0</v>
      </c>
      <c r="K32" s="6"/>
      <c r="L32" s="7">
        <f t="shared" si="4"/>
        <v>0</v>
      </c>
      <c r="M32" s="6">
        <v>19</v>
      </c>
      <c r="N32" s="7">
        <f t="shared" si="5"/>
        <v>53.846153846153847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>F32+R32+N32+T32+H32+J32+L32+P32</f>
        <v>189.56043956043956</v>
      </c>
      <c r="V32" s="6">
        <f t="shared" si="9"/>
        <v>3</v>
      </c>
      <c r="W32" s="6">
        <f t="shared" si="10"/>
        <v>22</v>
      </c>
      <c r="X32" s="13">
        <f t="shared" si="11"/>
        <v>0.375</v>
      </c>
    </row>
    <row r="33" spans="1:24" x14ac:dyDescent="0.3">
      <c r="A33" s="5">
        <f t="shared" si="0"/>
        <v>23</v>
      </c>
      <c r="B33" s="6" t="s">
        <v>182</v>
      </c>
      <c r="C33" s="6" t="s">
        <v>183</v>
      </c>
      <c r="D33" s="6" t="s">
        <v>89</v>
      </c>
      <c r="E33" s="6">
        <v>22</v>
      </c>
      <c r="F33" s="7">
        <f t="shared" si="1"/>
        <v>42.857142857142854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>
        <v>9</v>
      </c>
      <c r="P33" s="7">
        <f t="shared" si="6"/>
        <v>110</v>
      </c>
      <c r="Q33" s="6">
        <v>18</v>
      </c>
      <c r="R33" s="7">
        <f t="shared" si="7"/>
        <v>75</v>
      </c>
      <c r="S33" s="6"/>
      <c r="T33" s="7">
        <f t="shared" si="8"/>
        <v>0</v>
      </c>
      <c r="U33" s="8">
        <f>F33+P33+J33+L33</f>
        <v>152.85714285714286</v>
      </c>
      <c r="V33" s="6">
        <f t="shared" si="9"/>
        <v>3</v>
      </c>
      <c r="W33" s="6">
        <f t="shared" si="10"/>
        <v>23</v>
      </c>
      <c r="X33" s="13">
        <f t="shared" si="11"/>
        <v>0.375</v>
      </c>
    </row>
    <row r="34" spans="1:24" x14ac:dyDescent="0.3">
      <c r="A34" s="5">
        <f t="shared" si="0"/>
        <v>24</v>
      </c>
      <c r="B34" s="6" t="s">
        <v>77</v>
      </c>
      <c r="C34" s="6" t="s">
        <v>114</v>
      </c>
      <c r="D34" s="6" t="s">
        <v>58</v>
      </c>
      <c r="E34" s="6"/>
      <c r="F34" s="7">
        <f t="shared" si="1"/>
        <v>0</v>
      </c>
      <c r="G34" s="6"/>
      <c r="H34" s="7">
        <f t="shared" si="2"/>
        <v>0</v>
      </c>
      <c r="I34" s="6">
        <v>20</v>
      </c>
      <c r="J34" s="7">
        <f>10/2</f>
        <v>5</v>
      </c>
      <c r="K34" s="6"/>
      <c r="L34" s="7">
        <f t="shared" si="4"/>
        <v>0</v>
      </c>
      <c r="M34" s="6">
        <v>20</v>
      </c>
      <c r="N34" s="7">
        <f t="shared" si="5"/>
        <v>46.153846153846153</v>
      </c>
      <c r="O34" s="6"/>
      <c r="P34" s="7">
        <f t="shared" si="6"/>
        <v>0</v>
      </c>
      <c r="Q34" s="6">
        <v>17</v>
      </c>
      <c r="R34" s="7">
        <f t="shared" si="7"/>
        <v>87.5</v>
      </c>
      <c r="S34" s="6"/>
      <c r="T34" s="7">
        <f t="shared" si="8"/>
        <v>0</v>
      </c>
      <c r="U34" s="8">
        <f>F34+R34+N34+T34+H34+J34+L34+P34</f>
        <v>138.65384615384616</v>
      </c>
      <c r="V34" s="6">
        <f t="shared" si="9"/>
        <v>3</v>
      </c>
      <c r="W34" s="6">
        <f t="shared" si="10"/>
        <v>24</v>
      </c>
      <c r="X34" s="13">
        <f t="shared" si="11"/>
        <v>0.375</v>
      </c>
    </row>
    <row r="35" spans="1:24" x14ac:dyDescent="0.3">
      <c r="A35" s="5">
        <f t="shared" si="0"/>
        <v>25</v>
      </c>
      <c r="B35" s="6" t="s">
        <v>381</v>
      </c>
      <c r="C35" s="6" t="s">
        <v>382</v>
      </c>
      <c r="D35" s="6" t="s">
        <v>378</v>
      </c>
      <c r="E35" s="6"/>
      <c r="F35" s="7">
        <f t="shared" si="1"/>
        <v>0</v>
      </c>
      <c r="G35" s="6"/>
      <c r="H35" s="7">
        <f t="shared" si="2"/>
        <v>0</v>
      </c>
      <c r="I35" s="6">
        <v>8</v>
      </c>
      <c r="J35" s="7">
        <f t="shared" ref="J35:J59" si="12">IF(I35=0,,($I$9-I35)*$I$7*100/$I$9)</f>
        <v>120</v>
      </c>
      <c r="K35" s="6"/>
      <c r="L35" s="7">
        <f t="shared" si="4"/>
        <v>0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>F35+J35+P35+N35</f>
        <v>120</v>
      </c>
      <c r="V35" s="6">
        <f t="shared" si="9"/>
        <v>1</v>
      </c>
      <c r="W35" s="6">
        <f t="shared" si="10"/>
        <v>25</v>
      </c>
      <c r="X35" s="13">
        <f t="shared" si="11"/>
        <v>0.125</v>
      </c>
    </row>
    <row r="36" spans="1:24" x14ac:dyDescent="0.3">
      <c r="A36" s="5">
        <f t="shared" si="0"/>
        <v>26</v>
      </c>
      <c r="B36" s="6" t="s">
        <v>87</v>
      </c>
      <c r="C36" s="6" t="s">
        <v>88</v>
      </c>
      <c r="D36" s="6" t="s">
        <v>65</v>
      </c>
      <c r="E36" s="6">
        <v>11</v>
      </c>
      <c r="F36" s="7">
        <f t="shared" si="1"/>
        <v>121.42857142857143</v>
      </c>
      <c r="G36" s="6">
        <v>12</v>
      </c>
      <c r="H36" s="7">
        <f t="shared" si="2"/>
        <v>114.28571428571429</v>
      </c>
      <c r="I36" s="6"/>
      <c r="J36" s="7">
        <f t="shared" si="12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>
        <v>16</v>
      </c>
      <c r="R36" s="7">
        <f t="shared" si="7"/>
        <v>100</v>
      </c>
      <c r="S36" s="6"/>
      <c r="T36" s="7">
        <f t="shared" si="8"/>
        <v>0</v>
      </c>
      <c r="U36" s="8">
        <f>N36+L36+J36+H36</f>
        <v>114.28571428571429</v>
      </c>
      <c r="V36" s="6">
        <f t="shared" si="9"/>
        <v>3</v>
      </c>
      <c r="W36" s="6">
        <f t="shared" si="10"/>
        <v>26</v>
      </c>
      <c r="X36" s="13">
        <f t="shared" si="11"/>
        <v>0.375</v>
      </c>
    </row>
    <row r="37" spans="1:24" x14ac:dyDescent="0.3">
      <c r="A37" s="5">
        <f t="shared" si="0"/>
        <v>27</v>
      </c>
      <c r="B37" s="6" t="s">
        <v>617</v>
      </c>
      <c r="C37" s="6" t="s">
        <v>618</v>
      </c>
      <c r="D37" s="6" t="s">
        <v>89</v>
      </c>
      <c r="E37" s="6"/>
      <c r="F37" s="7">
        <f t="shared" si="1"/>
        <v>0</v>
      </c>
      <c r="G37" s="6"/>
      <c r="H37" s="7">
        <f t="shared" si="2"/>
        <v>0</v>
      </c>
      <c r="I37" s="6"/>
      <c r="J37" s="7">
        <f t="shared" si="12"/>
        <v>0</v>
      </c>
      <c r="K37" s="6"/>
      <c r="L37" s="7">
        <f t="shared" si="4"/>
        <v>0</v>
      </c>
      <c r="M37" s="6"/>
      <c r="N37" s="7">
        <f t="shared" si="5"/>
        <v>0</v>
      </c>
      <c r="O37" s="6"/>
      <c r="P37" s="7">
        <f t="shared" si="6"/>
        <v>0</v>
      </c>
      <c r="Q37" s="6">
        <v>15</v>
      </c>
      <c r="R37" s="7">
        <f t="shared" si="7"/>
        <v>112.5</v>
      </c>
      <c r="S37" s="6"/>
      <c r="T37" s="7">
        <f t="shared" si="8"/>
        <v>0</v>
      </c>
      <c r="U37" s="8">
        <f t="shared" ref="U37:U56" si="13">F37+R37+N37+T37+H37+J37+L37+P37</f>
        <v>112.5</v>
      </c>
      <c r="V37" s="6">
        <f t="shared" si="9"/>
        <v>1</v>
      </c>
      <c r="W37" s="6">
        <f t="shared" si="10"/>
        <v>27</v>
      </c>
      <c r="X37" s="13">
        <f t="shared" si="11"/>
        <v>0.125</v>
      </c>
    </row>
    <row r="38" spans="1:24" x14ac:dyDescent="0.3">
      <c r="A38" s="5">
        <f t="shared" si="0"/>
        <v>28</v>
      </c>
      <c r="B38" s="6" t="s">
        <v>117</v>
      </c>
      <c r="C38" s="6" t="s">
        <v>118</v>
      </c>
      <c r="D38" s="6" t="s">
        <v>65</v>
      </c>
      <c r="E38" s="6"/>
      <c r="F38" s="7">
        <f t="shared" si="1"/>
        <v>0</v>
      </c>
      <c r="G38" s="6"/>
      <c r="H38" s="7">
        <f t="shared" si="2"/>
        <v>0</v>
      </c>
      <c r="I38" s="6"/>
      <c r="J38" s="7">
        <f t="shared" si="12"/>
        <v>0</v>
      </c>
      <c r="K38" s="6">
        <v>18</v>
      </c>
      <c r="L38" s="7">
        <f t="shared" si="4"/>
        <v>107.69230769230769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13"/>
        <v>107.69230769230769</v>
      </c>
      <c r="V38" s="6">
        <f t="shared" si="9"/>
        <v>1</v>
      </c>
      <c r="W38" s="6">
        <f t="shared" si="10"/>
        <v>28</v>
      </c>
      <c r="X38" s="13">
        <f t="shared" si="11"/>
        <v>0.125</v>
      </c>
    </row>
    <row r="39" spans="1:24" x14ac:dyDescent="0.3">
      <c r="A39" s="5">
        <f t="shared" si="0"/>
        <v>29</v>
      </c>
      <c r="B39" s="6" t="s">
        <v>383</v>
      </c>
      <c r="C39" s="6" t="s">
        <v>384</v>
      </c>
      <c r="D39" s="6" t="s">
        <v>49</v>
      </c>
      <c r="E39" s="6"/>
      <c r="F39" s="7">
        <f t="shared" si="1"/>
        <v>0</v>
      </c>
      <c r="G39" s="6"/>
      <c r="H39" s="7">
        <f t="shared" si="2"/>
        <v>0</v>
      </c>
      <c r="I39" s="6">
        <v>11</v>
      </c>
      <c r="J39" s="7">
        <f t="shared" si="12"/>
        <v>90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13"/>
        <v>90</v>
      </c>
      <c r="V39" s="6">
        <f t="shared" si="9"/>
        <v>1</v>
      </c>
      <c r="W39" s="6">
        <f t="shared" si="10"/>
        <v>29</v>
      </c>
      <c r="X39" s="13">
        <f t="shared" si="11"/>
        <v>0.125</v>
      </c>
    </row>
    <row r="40" spans="1:24" x14ac:dyDescent="0.3">
      <c r="A40" s="5">
        <f t="shared" si="0"/>
        <v>30</v>
      </c>
      <c r="B40" s="6" t="s">
        <v>127</v>
      </c>
      <c r="C40" s="6" t="s">
        <v>128</v>
      </c>
      <c r="D40" s="6" t="s">
        <v>72</v>
      </c>
      <c r="E40" s="6">
        <v>28</v>
      </c>
      <c r="F40" s="7">
        <f>7/2</f>
        <v>3.5</v>
      </c>
      <c r="G40" s="6"/>
      <c r="H40" s="7">
        <f t="shared" si="2"/>
        <v>0</v>
      </c>
      <c r="I40" s="6"/>
      <c r="J40" s="7">
        <f t="shared" si="12"/>
        <v>0</v>
      </c>
      <c r="K40" s="6">
        <v>39</v>
      </c>
      <c r="L40" s="7">
        <f>5/2</f>
        <v>2.5</v>
      </c>
      <c r="M40" s="6">
        <v>21</v>
      </c>
      <c r="N40" s="7">
        <f t="shared" si="5"/>
        <v>38.46153846153846</v>
      </c>
      <c r="O40" s="6">
        <v>18</v>
      </c>
      <c r="P40" s="7">
        <f t="shared" si="6"/>
        <v>20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13"/>
        <v>64.461538461538453</v>
      </c>
      <c r="V40" s="6">
        <f t="shared" si="9"/>
        <v>4</v>
      </c>
      <c r="W40" s="6">
        <f t="shared" si="10"/>
        <v>30</v>
      </c>
      <c r="X40" s="13">
        <f t="shared" si="11"/>
        <v>0.5</v>
      </c>
    </row>
    <row r="41" spans="1:24" x14ac:dyDescent="0.3">
      <c r="A41" s="5">
        <f t="shared" si="0"/>
        <v>31</v>
      </c>
      <c r="B41" s="6" t="s">
        <v>619</v>
      </c>
      <c r="C41" s="6" t="s">
        <v>207</v>
      </c>
      <c r="D41" s="6" t="s">
        <v>49</v>
      </c>
      <c r="E41" s="6"/>
      <c r="F41" s="7">
        <f t="shared" ref="F41:F58" si="14">IF(E41=0,,($E$9-E41)*$E$7*100/$E$9)</f>
        <v>0</v>
      </c>
      <c r="G41" s="6"/>
      <c r="H41" s="7">
        <f t="shared" si="2"/>
        <v>0</v>
      </c>
      <c r="I41" s="6"/>
      <c r="J41" s="7">
        <f t="shared" si="12"/>
        <v>0</v>
      </c>
      <c r="K41" s="6"/>
      <c r="L41" s="7">
        <f t="shared" ref="L41:L59" si="15">IF(K41=0,,($K$9-K41)*$K$7*100/$K$9)</f>
        <v>0</v>
      </c>
      <c r="M41" s="6"/>
      <c r="N41" s="7">
        <f t="shared" si="5"/>
        <v>0</v>
      </c>
      <c r="O41" s="6"/>
      <c r="P41" s="7">
        <f t="shared" si="6"/>
        <v>0</v>
      </c>
      <c r="Q41" s="6">
        <v>19</v>
      </c>
      <c r="R41" s="7">
        <f t="shared" si="7"/>
        <v>62.5</v>
      </c>
      <c r="S41" s="6"/>
      <c r="T41" s="7">
        <f t="shared" si="8"/>
        <v>0</v>
      </c>
      <c r="U41" s="8">
        <f t="shared" si="13"/>
        <v>62.5</v>
      </c>
      <c r="V41" s="6">
        <f t="shared" si="9"/>
        <v>1</v>
      </c>
      <c r="W41" s="6">
        <f t="shared" si="10"/>
        <v>31</v>
      </c>
      <c r="X41" s="13">
        <f t="shared" si="11"/>
        <v>0.125</v>
      </c>
    </row>
    <row r="42" spans="1:24" x14ac:dyDescent="0.3">
      <c r="A42" s="5">
        <f t="shared" si="0"/>
        <v>32</v>
      </c>
      <c r="B42" s="6" t="s">
        <v>264</v>
      </c>
      <c r="C42" s="6" t="s">
        <v>265</v>
      </c>
      <c r="D42" s="6" t="s">
        <v>89</v>
      </c>
      <c r="E42" s="6">
        <v>20</v>
      </c>
      <c r="F42" s="7">
        <f t="shared" si="14"/>
        <v>57.142857142857146</v>
      </c>
      <c r="G42" s="6"/>
      <c r="H42" s="7">
        <f t="shared" si="2"/>
        <v>0</v>
      </c>
      <c r="I42" s="6"/>
      <c r="J42" s="7">
        <f t="shared" si="12"/>
        <v>0</v>
      </c>
      <c r="K42" s="6"/>
      <c r="L42" s="7">
        <f t="shared" si="15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13"/>
        <v>57.142857142857146</v>
      </c>
      <c r="V42" s="6">
        <f t="shared" si="9"/>
        <v>1</v>
      </c>
      <c r="W42" s="6">
        <f t="shared" si="10"/>
        <v>32</v>
      </c>
      <c r="X42" s="13">
        <f t="shared" si="11"/>
        <v>0.125</v>
      </c>
    </row>
    <row r="43" spans="1:24" x14ac:dyDescent="0.3">
      <c r="A43" s="5">
        <f t="shared" ref="A43:A59" si="16">W43</f>
        <v>33</v>
      </c>
      <c r="B43" s="6" t="s">
        <v>266</v>
      </c>
      <c r="C43" s="6" t="s">
        <v>155</v>
      </c>
      <c r="D43" s="6" t="s">
        <v>48</v>
      </c>
      <c r="E43" s="6">
        <v>21</v>
      </c>
      <c r="F43" s="7">
        <f t="shared" si="14"/>
        <v>50</v>
      </c>
      <c r="G43" s="6"/>
      <c r="H43" s="7">
        <f t="shared" si="2"/>
        <v>0</v>
      </c>
      <c r="I43" s="6"/>
      <c r="J43" s="7">
        <f t="shared" si="12"/>
        <v>0</v>
      </c>
      <c r="K43" s="6"/>
      <c r="L43" s="7">
        <f t="shared" si="15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ref="T43:T74" si="17">IF(S43=0,,($S$9-S43)*$S$7*100/$S$9)</f>
        <v>0</v>
      </c>
      <c r="U43" s="8">
        <f t="shared" si="13"/>
        <v>50</v>
      </c>
      <c r="V43" s="6">
        <f t="shared" ref="V43:V59" si="18">COUNTA(E43,I43,K43,M43,O43,S43,Q43,G43)</f>
        <v>1</v>
      </c>
      <c r="W43" s="6">
        <f t="shared" ref="W43:W59" si="19">ROW(B43)-10</f>
        <v>33</v>
      </c>
      <c r="X43" s="13">
        <f t="shared" ref="X43:X59" si="20">V43/$G$3</f>
        <v>0.125</v>
      </c>
    </row>
    <row r="44" spans="1:24" x14ac:dyDescent="0.3">
      <c r="A44" s="5">
        <f t="shared" si="16"/>
        <v>34</v>
      </c>
      <c r="B44" s="6" t="s">
        <v>267</v>
      </c>
      <c r="C44" s="6" t="s">
        <v>268</v>
      </c>
      <c r="D44" s="6" t="s">
        <v>72</v>
      </c>
      <c r="E44" s="6">
        <v>23</v>
      </c>
      <c r="F44" s="7">
        <f t="shared" si="14"/>
        <v>35.714285714285715</v>
      </c>
      <c r="G44" s="6">
        <v>27</v>
      </c>
      <c r="H44" s="7">
        <f t="shared" si="2"/>
        <v>7.1428571428571432</v>
      </c>
      <c r="I44" s="6"/>
      <c r="J44" s="7">
        <f t="shared" si="12"/>
        <v>0</v>
      </c>
      <c r="K44" s="6"/>
      <c r="L44" s="7">
        <f t="shared" si="15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17"/>
        <v>0</v>
      </c>
      <c r="U44" s="8">
        <f t="shared" si="13"/>
        <v>42.857142857142861</v>
      </c>
      <c r="V44" s="6">
        <f t="shared" si="18"/>
        <v>2</v>
      </c>
      <c r="W44" s="6">
        <f t="shared" si="19"/>
        <v>34</v>
      </c>
      <c r="X44" s="13">
        <f t="shared" si="20"/>
        <v>0.25</v>
      </c>
    </row>
    <row r="45" spans="1:24" x14ac:dyDescent="0.3">
      <c r="A45" s="6">
        <f t="shared" si="16"/>
        <v>35</v>
      </c>
      <c r="B45" s="6" t="s">
        <v>469</v>
      </c>
      <c r="C45" s="6" t="s">
        <v>470</v>
      </c>
      <c r="D45" s="6" t="s">
        <v>72</v>
      </c>
      <c r="E45" s="6"/>
      <c r="F45" s="7">
        <f t="shared" si="14"/>
        <v>0</v>
      </c>
      <c r="G45" s="6"/>
      <c r="H45" s="7">
        <f t="shared" si="2"/>
        <v>0</v>
      </c>
      <c r="I45" s="6"/>
      <c r="J45" s="7">
        <f t="shared" si="12"/>
        <v>0</v>
      </c>
      <c r="K45" s="6"/>
      <c r="L45" s="7">
        <f t="shared" si="15"/>
        <v>0</v>
      </c>
      <c r="M45" s="6">
        <v>22</v>
      </c>
      <c r="N45" s="7">
        <f t="shared" si="5"/>
        <v>30.76923076923077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17"/>
        <v>0</v>
      </c>
      <c r="U45" s="8">
        <f t="shared" si="13"/>
        <v>30.76923076923077</v>
      </c>
      <c r="V45" s="6">
        <f t="shared" si="18"/>
        <v>1</v>
      </c>
      <c r="W45" s="6">
        <f t="shared" si="19"/>
        <v>35</v>
      </c>
      <c r="X45" s="13">
        <f t="shared" si="20"/>
        <v>0.125</v>
      </c>
    </row>
    <row r="46" spans="1:24" x14ac:dyDescent="0.3">
      <c r="A46" s="5">
        <f t="shared" si="16"/>
        <v>36</v>
      </c>
      <c r="B46" s="6" t="s">
        <v>330</v>
      </c>
      <c r="C46" s="6" t="s">
        <v>339</v>
      </c>
      <c r="D46" s="6" t="s">
        <v>65</v>
      </c>
      <c r="E46" s="6"/>
      <c r="F46" s="7">
        <f t="shared" si="14"/>
        <v>0</v>
      </c>
      <c r="G46" s="6">
        <v>24</v>
      </c>
      <c r="H46" s="7">
        <f t="shared" si="2"/>
        <v>28.571428571428573</v>
      </c>
      <c r="I46" s="6"/>
      <c r="J46" s="7">
        <f t="shared" si="12"/>
        <v>0</v>
      </c>
      <c r="K46" s="6"/>
      <c r="L46" s="7">
        <f t="shared" si="15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6"/>
      <c r="T46" s="7">
        <f t="shared" si="17"/>
        <v>0</v>
      </c>
      <c r="U46" s="8">
        <f t="shared" si="13"/>
        <v>28.571428571428573</v>
      </c>
      <c r="V46" s="6">
        <f t="shared" si="18"/>
        <v>1</v>
      </c>
      <c r="W46" s="6">
        <f t="shared" si="19"/>
        <v>36</v>
      </c>
      <c r="X46" s="13">
        <f t="shared" si="20"/>
        <v>0.125</v>
      </c>
    </row>
    <row r="47" spans="1:24" x14ac:dyDescent="0.3">
      <c r="A47" s="5">
        <f t="shared" si="16"/>
        <v>37</v>
      </c>
      <c r="B47" s="6" t="s">
        <v>620</v>
      </c>
      <c r="C47" s="6" t="s">
        <v>74</v>
      </c>
      <c r="D47" s="6" t="s">
        <v>65</v>
      </c>
      <c r="E47" s="6"/>
      <c r="F47" s="7">
        <f t="shared" si="14"/>
        <v>0</v>
      </c>
      <c r="G47" s="6"/>
      <c r="H47" s="7">
        <f t="shared" si="2"/>
        <v>0</v>
      </c>
      <c r="I47" s="6"/>
      <c r="J47" s="7">
        <f t="shared" si="12"/>
        <v>0</v>
      </c>
      <c r="K47" s="6"/>
      <c r="L47" s="7">
        <f t="shared" si="15"/>
        <v>0</v>
      </c>
      <c r="M47" s="6"/>
      <c r="N47" s="7">
        <f t="shared" si="5"/>
        <v>0</v>
      </c>
      <c r="O47" s="6"/>
      <c r="P47" s="7">
        <f t="shared" si="6"/>
        <v>0</v>
      </c>
      <c r="Q47" s="6">
        <v>22</v>
      </c>
      <c r="R47" s="7">
        <f t="shared" si="7"/>
        <v>25</v>
      </c>
      <c r="S47" s="6"/>
      <c r="T47" s="7">
        <f t="shared" si="17"/>
        <v>0</v>
      </c>
      <c r="U47" s="8">
        <f t="shared" si="13"/>
        <v>25</v>
      </c>
      <c r="V47" s="6">
        <f t="shared" si="18"/>
        <v>1</v>
      </c>
      <c r="W47" s="6">
        <f t="shared" si="19"/>
        <v>37</v>
      </c>
      <c r="X47" s="13">
        <f t="shared" si="20"/>
        <v>0.125</v>
      </c>
    </row>
    <row r="48" spans="1:24" x14ac:dyDescent="0.3">
      <c r="A48" s="5">
        <f t="shared" si="16"/>
        <v>38</v>
      </c>
      <c r="B48" s="6" t="s">
        <v>471</v>
      </c>
      <c r="C48" s="6" t="s">
        <v>225</v>
      </c>
      <c r="D48" s="6" t="s">
        <v>65</v>
      </c>
      <c r="E48" s="6"/>
      <c r="F48" s="7">
        <f t="shared" si="14"/>
        <v>0</v>
      </c>
      <c r="G48" s="6"/>
      <c r="H48" s="7">
        <f t="shared" si="2"/>
        <v>0</v>
      </c>
      <c r="I48" s="6"/>
      <c r="J48" s="7">
        <f t="shared" si="12"/>
        <v>0</v>
      </c>
      <c r="K48" s="6"/>
      <c r="L48" s="7">
        <f t="shared" si="15"/>
        <v>0</v>
      </c>
      <c r="M48" s="6">
        <v>23</v>
      </c>
      <c r="N48" s="7">
        <f t="shared" si="5"/>
        <v>23.076923076923077</v>
      </c>
      <c r="O48" s="6"/>
      <c r="P48" s="7">
        <f t="shared" si="6"/>
        <v>0</v>
      </c>
      <c r="Q48" s="6"/>
      <c r="R48" s="7">
        <f t="shared" si="7"/>
        <v>0</v>
      </c>
      <c r="S48" s="6"/>
      <c r="T48" s="7">
        <f t="shared" si="17"/>
        <v>0</v>
      </c>
      <c r="U48" s="8">
        <f t="shared" si="13"/>
        <v>23.076923076923077</v>
      </c>
      <c r="V48" s="6">
        <f t="shared" si="18"/>
        <v>1</v>
      </c>
      <c r="W48" s="6">
        <f t="shared" si="19"/>
        <v>38</v>
      </c>
      <c r="X48" s="13">
        <f t="shared" si="20"/>
        <v>0.125</v>
      </c>
    </row>
    <row r="49" spans="1:24" x14ac:dyDescent="0.3">
      <c r="A49" s="5">
        <f t="shared" si="16"/>
        <v>39</v>
      </c>
      <c r="B49" s="6" t="s">
        <v>341</v>
      </c>
      <c r="C49" s="6" t="s">
        <v>340</v>
      </c>
      <c r="D49" s="6" t="s">
        <v>65</v>
      </c>
      <c r="E49" s="6"/>
      <c r="F49" s="7">
        <f t="shared" si="14"/>
        <v>0</v>
      </c>
      <c r="G49" s="6">
        <v>25</v>
      </c>
      <c r="H49" s="7">
        <f t="shared" si="2"/>
        <v>21.428571428571427</v>
      </c>
      <c r="I49" s="6"/>
      <c r="J49" s="7">
        <f t="shared" si="12"/>
        <v>0</v>
      </c>
      <c r="K49" s="6"/>
      <c r="L49" s="7">
        <f t="shared" si="15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17"/>
        <v>0</v>
      </c>
      <c r="U49" s="8">
        <f t="shared" si="13"/>
        <v>21.428571428571427</v>
      </c>
      <c r="V49" s="6">
        <f t="shared" si="18"/>
        <v>1</v>
      </c>
      <c r="W49" s="6">
        <f t="shared" si="19"/>
        <v>39</v>
      </c>
      <c r="X49" s="13">
        <f t="shared" si="20"/>
        <v>0.125</v>
      </c>
    </row>
    <row r="50" spans="1:24" x14ac:dyDescent="0.3">
      <c r="A50" s="5">
        <f t="shared" si="16"/>
        <v>40</v>
      </c>
      <c r="B50" s="6" t="s">
        <v>385</v>
      </c>
      <c r="C50" s="6" t="s">
        <v>386</v>
      </c>
      <c r="D50" s="6" t="s">
        <v>378</v>
      </c>
      <c r="E50" s="6"/>
      <c r="F50" s="7">
        <f t="shared" si="14"/>
        <v>0</v>
      </c>
      <c r="G50" s="6"/>
      <c r="H50" s="7">
        <f t="shared" si="2"/>
        <v>0</v>
      </c>
      <c r="I50" s="6">
        <v>18</v>
      </c>
      <c r="J50" s="7">
        <f t="shared" si="12"/>
        <v>20</v>
      </c>
      <c r="K50" s="6"/>
      <c r="L50" s="7">
        <f t="shared" si="15"/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17"/>
        <v>0</v>
      </c>
      <c r="U50" s="8">
        <f t="shared" si="13"/>
        <v>20</v>
      </c>
      <c r="V50" s="6">
        <f t="shared" si="18"/>
        <v>1</v>
      </c>
      <c r="W50" s="6">
        <f t="shared" si="19"/>
        <v>40</v>
      </c>
      <c r="X50" s="13">
        <f t="shared" si="20"/>
        <v>0.125</v>
      </c>
    </row>
    <row r="51" spans="1:24" x14ac:dyDescent="0.3">
      <c r="A51" s="5">
        <f t="shared" si="16"/>
        <v>41</v>
      </c>
      <c r="B51" s="6" t="s">
        <v>472</v>
      </c>
      <c r="C51" s="6" t="s">
        <v>71</v>
      </c>
      <c r="D51" s="6" t="s">
        <v>378</v>
      </c>
      <c r="E51" s="6"/>
      <c r="F51" s="7">
        <f t="shared" si="14"/>
        <v>0</v>
      </c>
      <c r="G51" s="6"/>
      <c r="H51" s="7">
        <f t="shared" si="2"/>
        <v>0</v>
      </c>
      <c r="I51" s="6"/>
      <c r="J51" s="7">
        <f t="shared" si="12"/>
        <v>0</v>
      </c>
      <c r="K51" s="6"/>
      <c r="L51" s="7">
        <f t="shared" si="15"/>
        <v>0</v>
      </c>
      <c r="M51" s="6">
        <v>24</v>
      </c>
      <c r="N51" s="7">
        <f t="shared" si="5"/>
        <v>15.384615384615385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17"/>
        <v>0</v>
      </c>
      <c r="U51" s="8">
        <f t="shared" si="13"/>
        <v>15.384615384615385</v>
      </c>
      <c r="V51" s="6">
        <f t="shared" si="18"/>
        <v>1</v>
      </c>
      <c r="W51" s="6">
        <f t="shared" si="19"/>
        <v>41</v>
      </c>
      <c r="X51" s="13">
        <f t="shared" si="20"/>
        <v>0.125</v>
      </c>
    </row>
    <row r="52" spans="1:24" x14ac:dyDescent="0.3">
      <c r="A52" s="5">
        <f t="shared" si="16"/>
        <v>42</v>
      </c>
      <c r="B52" s="6" t="s">
        <v>457</v>
      </c>
      <c r="C52" s="6" t="s">
        <v>429</v>
      </c>
      <c r="D52" s="6" t="s">
        <v>378</v>
      </c>
      <c r="E52" s="6"/>
      <c r="F52" s="7">
        <f t="shared" si="14"/>
        <v>0</v>
      </c>
      <c r="G52" s="6"/>
      <c r="H52" s="7">
        <f t="shared" si="2"/>
        <v>0</v>
      </c>
      <c r="I52" s="6"/>
      <c r="J52" s="7">
        <f t="shared" si="12"/>
        <v>0</v>
      </c>
      <c r="K52" s="6"/>
      <c r="L52" s="7">
        <f t="shared" si="15"/>
        <v>0</v>
      </c>
      <c r="M52" s="6"/>
      <c r="N52" s="7">
        <f t="shared" si="5"/>
        <v>0</v>
      </c>
      <c r="O52" s="6"/>
      <c r="P52" s="7">
        <f t="shared" si="6"/>
        <v>0</v>
      </c>
      <c r="Q52" s="6">
        <v>23</v>
      </c>
      <c r="R52" s="7">
        <f t="shared" si="7"/>
        <v>12.5</v>
      </c>
      <c r="S52" s="6"/>
      <c r="T52" s="7">
        <f t="shared" si="17"/>
        <v>0</v>
      </c>
      <c r="U52" s="8">
        <f t="shared" si="13"/>
        <v>12.5</v>
      </c>
      <c r="V52" s="6">
        <f t="shared" si="18"/>
        <v>1</v>
      </c>
      <c r="W52" s="6">
        <f t="shared" si="19"/>
        <v>42</v>
      </c>
      <c r="X52" s="13">
        <f t="shared" si="20"/>
        <v>0.125</v>
      </c>
    </row>
    <row r="53" spans="1:24" x14ac:dyDescent="0.3">
      <c r="A53" s="5">
        <f t="shared" si="16"/>
        <v>43</v>
      </c>
      <c r="B53" s="6" t="s">
        <v>387</v>
      </c>
      <c r="C53" s="6" t="s">
        <v>329</v>
      </c>
      <c r="D53" s="6" t="s">
        <v>49</v>
      </c>
      <c r="E53" s="6"/>
      <c r="F53" s="7">
        <f t="shared" si="14"/>
        <v>0</v>
      </c>
      <c r="G53" s="6"/>
      <c r="H53" s="7">
        <f t="shared" si="2"/>
        <v>0</v>
      </c>
      <c r="I53" s="6">
        <v>19</v>
      </c>
      <c r="J53" s="7">
        <f t="shared" si="12"/>
        <v>10</v>
      </c>
      <c r="K53" s="6"/>
      <c r="L53" s="7">
        <f t="shared" si="15"/>
        <v>0</v>
      </c>
      <c r="M53" s="6"/>
      <c r="N53" s="7">
        <f t="shared" si="5"/>
        <v>0</v>
      </c>
      <c r="O53" s="6"/>
      <c r="P53" s="7">
        <f t="shared" si="6"/>
        <v>0</v>
      </c>
      <c r="Q53" s="6"/>
      <c r="R53" s="7">
        <f t="shared" si="7"/>
        <v>0</v>
      </c>
      <c r="S53" s="6"/>
      <c r="T53" s="7">
        <f t="shared" si="17"/>
        <v>0</v>
      </c>
      <c r="U53" s="8">
        <f t="shared" si="13"/>
        <v>10</v>
      </c>
      <c r="V53" s="6">
        <f t="shared" si="18"/>
        <v>1</v>
      </c>
      <c r="W53" s="6">
        <f t="shared" si="19"/>
        <v>43</v>
      </c>
      <c r="X53" s="13">
        <f t="shared" si="20"/>
        <v>0.125</v>
      </c>
    </row>
    <row r="54" spans="1:24" x14ac:dyDescent="0.3">
      <c r="A54" s="5">
        <f t="shared" si="16"/>
        <v>44</v>
      </c>
      <c r="B54" s="6" t="s">
        <v>584</v>
      </c>
      <c r="C54" s="6" t="s">
        <v>585</v>
      </c>
      <c r="D54" s="6" t="s">
        <v>252</v>
      </c>
      <c r="E54" s="6"/>
      <c r="F54" s="7">
        <f t="shared" si="14"/>
        <v>0</v>
      </c>
      <c r="G54" s="6"/>
      <c r="H54" s="7">
        <f t="shared" si="2"/>
        <v>0</v>
      </c>
      <c r="I54" s="6"/>
      <c r="J54" s="7">
        <f t="shared" si="12"/>
        <v>0</v>
      </c>
      <c r="K54" s="6"/>
      <c r="L54" s="7">
        <f t="shared" si="15"/>
        <v>0</v>
      </c>
      <c r="M54" s="6"/>
      <c r="N54" s="7">
        <f t="shared" si="5"/>
        <v>0</v>
      </c>
      <c r="O54" s="6">
        <v>19</v>
      </c>
      <c r="P54" s="7">
        <f t="shared" si="6"/>
        <v>10</v>
      </c>
      <c r="Q54" s="6"/>
      <c r="R54" s="7">
        <f t="shared" si="7"/>
        <v>0</v>
      </c>
      <c r="S54" s="6"/>
      <c r="T54" s="7">
        <f t="shared" si="17"/>
        <v>0</v>
      </c>
      <c r="U54" s="8">
        <f t="shared" si="13"/>
        <v>10</v>
      </c>
      <c r="V54" s="6">
        <f t="shared" si="18"/>
        <v>1</v>
      </c>
      <c r="W54" s="6">
        <f t="shared" si="19"/>
        <v>44</v>
      </c>
      <c r="X54" s="13">
        <f t="shared" si="20"/>
        <v>0.125</v>
      </c>
    </row>
    <row r="55" spans="1:24" x14ac:dyDescent="0.3">
      <c r="A55" s="5">
        <f t="shared" si="16"/>
        <v>45</v>
      </c>
      <c r="B55" s="6" t="s">
        <v>473</v>
      </c>
      <c r="C55" s="6" t="s">
        <v>474</v>
      </c>
      <c r="D55" s="6" t="s">
        <v>58</v>
      </c>
      <c r="E55" s="6"/>
      <c r="F55" s="7">
        <f t="shared" si="14"/>
        <v>0</v>
      </c>
      <c r="G55" s="6"/>
      <c r="H55" s="7">
        <f t="shared" si="2"/>
        <v>0</v>
      </c>
      <c r="I55" s="6"/>
      <c r="J55" s="7">
        <f t="shared" si="12"/>
        <v>0</v>
      </c>
      <c r="K55" s="6"/>
      <c r="L55" s="7">
        <f t="shared" si="15"/>
        <v>0</v>
      </c>
      <c r="M55" s="6">
        <v>25</v>
      </c>
      <c r="N55" s="7">
        <f t="shared" si="5"/>
        <v>7.6923076923076925</v>
      </c>
      <c r="O55" s="6"/>
      <c r="P55" s="7">
        <f t="shared" si="6"/>
        <v>0</v>
      </c>
      <c r="Q55" s="6"/>
      <c r="R55" s="7">
        <f t="shared" si="7"/>
        <v>0</v>
      </c>
      <c r="S55" s="6"/>
      <c r="T55" s="7">
        <f t="shared" si="17"/>
        <v>0</v>
      </c>
      <c r="U55" s="8">
        <f t="shared" si="13"/>
        <v>7.6923076923076925</v>
      </c>
      <c r="V55" s="6">
        <f t="shared" si="18"/>
        <v>1</v>
      </c>
      <c r="W55" s="6">
        <f t="shared" si="19"/>
        <v>45</v>
      </c>
      <c r="X55" s="13">
        <f t="shared" si="20"/>
        <v>0.125</v>
      </c>
    </row>
    <row r="56" spans="1:24" x14ac:dyDescent="0.3">
      <c r="A56" s="5">
        <f t="shared" si="16"/>
        <v>46</v>
      </c>
      <c r="B56" s="6" t="s">
        <v>621</v>
      </c>
      <c r="C56" s="6" t="s">
        <v>622</v>
      </c>
      <c r="D56" s="6" t="s">
        <v>378</v>
      </c>
      <c r="E56" s="6"/>
      <c r="F56" s="7">
        <f t="shared" si="14"/>
        <v>0</v>
      </c>
      <c r="G56" s="6"/>
      <c r="H56" s="7">
        <f t="shared" si="2"/>
        <v>0</v>
      </c>
      <c r="I56" s="6"/>
      <c r="J56" s="7">
        <f t="shared" si="12"/>
        <v>0</v>
      </c>
      <c r="K56" s="6"/>
      <c r="L56" s="7">
        <f t="shared" si="15"/>
        <v>0</v>
      </c>
      <c r="M56" s="6"/>
      <c r="N56" s="7">
        <f t="shared" si="5"/>
        <v>0</v>
      </c>
      <c r="O56" s="6"/>
      <c r="P56" s="7">
        <f t="shared" si="6"/>
        <v>0</v>
      </c>
      <c r="Q56" s="6">
        <v>24</v>
      </c>
      <c r="R56" s="7">
        <f>13/2</f>
        <v>6.5</v>
      </c>
      <c r="S56" s="6"/>
      <c r="T56" s="7">
        <f t="shared" si="17"/>
        <v>0</v>
      </c>
      <c r="U56" s="8">
        <f t="shared" si="13"/>
        <v>6.5</v>
      </c>
      <c r="V56" s="6">
        <f t="shared" si="18"/>
        <v>1</v>
      </c>
      <c r="W56" s="6">
        <f t="shared" si="19"/>
        <v>46</v>
      </c>
      <c r="X56" s="13">
        <f t="shared" si="20"/>
        <v>0.125</v>
      </c>
    </row>
    <row r="57" spans="1:24" x14ac:dyDescent="0.3">
      <c r="A57" s="5">
        <f t="shared" si="16"/>
        <v>47</v>
      </c>
      <c r="B57" s="6" t="s">
        <v>475</v>
      </c>
      <c r="C57" s="6" t="s">
        <v>476</v>
      </c>
      <c r="D57" s="6" t="s">
        <v>58</v>
      </c>
      <c r="E57" s="6"/>
      <c r="F57" s="7">
        <f t="shared" si="14"/>
        <v>0</v>
      </c>
      <c r="G57" s="6"/>
      <c r="H57" s="7">
        <f t="shared" si="2"/>
        <v>0</v>
      </c>
      <c r="I57" s="6"/>
      <c r="J57" s="7">
        <f t="shared" si="12"/>
        <v>0</v>
      </c>
      <c r="K57" s="6"/>
      <c r="L57" s="7">
        <f t="shared" si="15"/>
        <v>0</v>
      </c>
      <c r="M57" s="6">
        <v>26</v>
      </c>
      <c r="N57" s="7">
        <f>8/2</f>
        <v>4</v>
      </c>
      <c r="O57" s="6">
        <v>20</v>
      </c>
      <c r="P57" s="7">
        <f>10/2</f>
        <v>5</v>
      </c>
      <c r="Q57" s="6">
        <v>21</v>
      </c>
      <c r="R57" s="7">
        <f>IF(Q57=0,,($Q$9-Q57)*$Q$7*100/$Q$9)</f>
        <v>37.5</v>
      </c>
      <c r="S57" s="6"/>
      <c r="T57" s="7">
        <f t="shared" si="17"/>
        <v>0</v>
      </c>
      <c r="U57" s="8">
        <f>F57+J57+L57+N57</f>
        <v>4</v>
      </c>
      <c r="V57" s="6">
        <f t="shared" si="18"/>
        <v>3</v>
      </c>
      <c r="W57" s="6">
        <f t="shared" si="19"/>
        <v>47</v>
      </c>
      <c r="X57" s="13">
        <f t="shared" si="20"/>
        <v>0.375</v>
      </c>
    </row>
    <row r="58" spans="1:24" x14ac:dyDescent="0.3">
      <c r="A58" s="5">
        <f t="shared" si="16"/>
        <v>48</v>
      </c>
      <c r="B58" s="6" t="s">
        <v>342</v>
      </c>
      <c r="C58" s="6" t="s">
        <v>71</v>
      </c>
      <c r="D58" s="6" t="s">
        <v>65</v>
      </c>
      <c r="E58" s="6"/>
      <c r="F58" s="7">
        <f t="shared" si="14"/>
        <v>0</v>
      </c>
      <c r="G58" s="6">
        <v>28</v>
      </c>
      <c r="H58" s="7">
        <f>7/2</f>
        <v>3.5</v>
      </c>
      <c r="I58" s="6"/>
      <c r="J58" s="7">
        <f t="shared" si="12"/>
        <v>0</v>
      </c>
      <c r="K58" s="6"/>
      <c r="L58" s="7">
        <f t="shared" si="15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17"/>
        <v>0</v>
      </c>
      <c r="U58" s="8">
        <f>F58+R58+N58+T58+H58+J58+L58+P58</f>
        <v>3.5</v>
      </c>
      <c r="V58" s="6">
        <f t="shared" si="18"/>
        <v>1</v>
      </c>
      <c r="W58" s="6">
        <f t="shared" si="19"/>
        <v>48</v>
      </c>
      <c r="X58" s="13">
        <f t="shared" si="20"/>
        <v>0.125</v>
      </c>
    </row>
    <row r="59" spans="1:24" x14ac:dyDescent="0.3">
      <c r="A59" s="5">
        <f t="shared" si="16"/>
        <v>49</v>
      </c>
      <c r="B59" s="6" t="s">
        <v>205</v>
      </c>
      <c r="C59" s="6" t="s">
        <v>206</v>
      </c>
      <c r="D59" s="6" t="s">
        <v>189</v>
      </c>
      <c r="E59" s="6">
        <v>24</v>
      </c>
      <c r="F59" s="7">
        <f>9/2</f>
        <v>4.5</v>
      </c>
      <c r="G59" s="6"/>
      <c r="H59" s="7">
        <f>IF(G59=0,,($G$9-G59)*$G$7*100/$G$9)</f>
        <v>0</v>
      </c>
      <c r="I59" s="6"/>
      <c r="J59" s="7">
        <f t="shared" si="12"/>
        <v>0</v>
      </c>
      <c r="K59" s="6"/>
      <c r="L59" s="7">
        <f t="shared" si="15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17"/>
        <v>0</v>
      </c>
      <c r="U59" s="8">
        <f>N59+L59+P59+H59</f>
        <v>0</v>
      </c>
      <c r="V59" s="6">
        <f t="shared" si="18"/>
        <v>1</v>
      </c>
      <c r="W59" s="6">
        <f t="shared" si="19"/>
        <v>49</v>
      </c>
      <c r="X59" s="13">
        <f t="shared" si="20"/>
        <v>0.125</v>
      </c>
    </row>
    <row r="60" spans="1:24" x14ac:dyDescent="0.3">
      <c r="A60" s="27" t="s">
        <v>18</v>
      </c>
      <c r="B60" s="27"/>
      <c r="C60" s="28"/>
      <c r="E60">
        <f>COUNTA(E11:E59)</f>
        <v>28</v>
      </c>
      <c r="G60">
        <f>COUNTA(G11:G59)</f>
        <v>18</v>
      </c>
      <c r="I60">
        <f>COUNTA(I11:I59)</f>
        <v>20</v>
      </c>
      <c r="K60">
        <f>COUNTA(K11:K59)</f>
        <v>14</v>
      </c>
      <c r="M60">
        <f>COUNTA(M11:M59)</f>
        <v>26</v>
      </c>
      <c r="O60">
        <f>COUNTA(O11:O59)</f>
        <v>20</v>
      </c>
      <c r="Q60">
        <f>COUNTA(Q11:Q59)</f>
        <v>24</v>
      </c>
      <c r="S60">
        <f>COUNTA(S11:S59)</f>
        <v>0</v>
      </c>
    </row>
    <row r="61" spans="1:24" x14ac:dyDescent="0.3">
      <c r="A61" s="30" t="s">
        <v>35</v>
      </c>
      <c r="B61" s="30"/>
      <c r="C61" s="30"/>
      <c r="E61" s="12">
        <f>E60/$G$2</f>
        <v>0.5714285714285714</v>
      </c>
      <c r="G61" s="12">
        <f>G60/$G$2</f>
        <v>0.36734693877551022</v>
      </c>
      <c r="I61" s="12">
        <f>I60/$G$2</f>
        <v>0.40816326530612246</v>
      </c>
      <c r="K61" s="12">
        <f>K60/$G$2</f>
        <v>0.2857142857142857</v>
      </c>
      <c r="M61" s="12">
        <f>M60/$G$2</f>
        <v>0.53061224489795922</v>
      </c>
      <c r="O61" s="12">
        <f>O60/$G$2</f>
        <v>0.40816326530612246</v>
      </c>
      <c r="Q61" s="12">
        <f>Q60/$G$2</f>
        <v>0.48979591836734693</v>
      </c>
      <c r="S61" s="12">
        <f>S60/$G$2</f>
        <v>0</v>
      </c>
    </row>
  </sheetData>
  <sortState xmlns:xlrd2="http://schemas.microsoft.com/office/spreadsheetml/2017/richdata2" ref="A11:X59">
    <sortCondition descending="1" ref="U11:U59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T33" sqref="T33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4" width="11.44140625" customWidth="1"/>
    <col min="15" max="15" width="16.88671875" customWidth="1"/>
    <col min="16" max="16" width="17.44140625" customWidth="1"/>
    <col min="17" max="17" width="16.886718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4" x14ac:dyDescent="0.3">
      <c r="E2" s="31" t="s">
        <v>31</v>
      </c>
      <c r="F2" s="31"/>
      <c r="G2" s="11">
        <f>COUNTA(B11:B52)</f>
        <v>23</v>
      </c>
    </row>
    <row r="3" spans="1:24" x14ac:dyDescent="0.3">
      <c r="B3" s="2"/>
      <c r="E3" s="31" t="s">
        <v>33</v>
      </c>
      <c r="F3" s="31"/>
      <c r="G3" s="11">
        <f>COUNTA(E8:T8)</f>
        <v>8</v>
      </c>
    </row>
    <row r="4" spans="1:24" x14ac:dyDescent="0.3">
      <c r="B4" s="2"/>
      <c r="C4" s="3"/>
    </row>
    <row r="6" spans="1:24" x14ac:dyDescent="0.3">
      <c r="D6" s="1" t="s">
        <v>0</v>
      </c>
      <c r="E6" s="26" t="s">
        <v>29</v>
      </c>
      <c r="F6" s="26"/>
      <c r="G6" s="26" t="s">
        <v>332</v>
      </c>
      <c r="H6" s="26"/>
      <c r="I6" s="26" t="s">
        <v>26</v>
      </c>
      <c r="J6" s="26"/>
      <c r="K6" s="26" t="s">
        <v>15</v>
      </c>
      <c r="L6" s="26"/>
      <c r="M6" s="26" t="s">
        <v>28</v>
      </c>
      <c r="N6" s="26"/>
      <c r="O6" s="26" t="s">
        <v>256</v>
      </c>
      <c r="P6" s="26"/>
      <c r="Q6" s="26" t="s">
        <v>255</v>
      </c>
      <c r="R6" s="26"/>
      <c r="S6" s="26" t="s">
        <v>43</v>
      </c>
      <c r="T6" s="26"/>
    </row>
    <row r="7" spans="1:24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  <c r="K7" s="23">
        <v>2</v>
      </c>
      <c r="L7" s="24"/>
      <c r="M7" s="23">
        <v>2</v>
      </c>
      <c r="N7" s="24"/>
      <c r="O7" s="23">
        <v>2</v>
      </c>
      <c r="P7" s="24"/>
      <c r="Q7" s="23">
        <v>3</v>
      </c>
      <c r="R7" s="24"/>
      <c r="S7" s="23">
        <v>6</v>
      </c>
      <c r="T7" s="24"/>
    </row>
    <row r="8" spans="1:24" x14ac:dyDescent="0.3">
      <c r="D8" s="1" t="s">
        <v>1</v>
      </c>
      <c r="E8" s="29">
        <v>45578</v>
      </c>
      <c r="F8" s="29"/>
      <c r="G8" s="36">
        <v>45587</v>
      </c>
      <c r="H8" s="37"/>
      <c r="I8" s="36">
        <v>45607</v>
      </c>
      <c r="J8" s="37"/>
      <c r="K8" s="36">
        <v>45612</v>
      </c>
      <c r="L8" s="37"/>
      <c r="M8" s="29">
        <v>45683</v>
      </c>
      <c r="N8" s="29"/>
      <c r="O8" s="29">
        <v>45774</v>
      </c>
      <c r="P8" s="29"/>
      <c r="Q8" s="29">
        <v>45807</v>
      </c>
      <c r="R8" s="29"/>
      <c r="S8" s="29">
        <v>45822</v>
      </c>
      <c r="T8" s="29"/>
    </row>
    <row r="9" spans="1:24" x14ac:dyDescent="0.3">
      <c r="D9" s="1" t="s">
        <v>2</v>
      </c>
      <c r="E9" s="26">
        <v>9</v>
      </c>
      <c r="F9" s="26"/>
      <c r="G9" s="23">
        <v>7</v>
      </c>
      <c r="H9" s="24"/>
      <c r="I9" s="23">
        <v>8</v>
      </c>
      <c r="J9" s="24"/>
      <c r="K9" s="23">
        <v>14</v>
      </c>
      <c r="L9" s="24"/>
      <c r="M9" s="26">
        <v>14</v>
      </c>
      <c r="N9" s="26"/>
      <c r="O9" s="26">
        <v>12</v>
      </c>
      <c r="P9" s="26"/>
      <c r="Q9" s="26">
        <v>7</v>
      </c>
      <c r="R9" s="26"/>
      <c r="S9" s="26"/>
      <c r="T9" s="26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34</v>
      </c>
      <c r="W10" s="1" t="s">
        <v>9</v>
      </c>
      <c r="X10" s="1" t="s">
        <v>36</v>
      </c>
    </row>
    <row r="11" spans="1:24" x14ac:dyDescent="0.3">
      <c r="A11" s="5">
        <f t="shared" ref="A11:A33" si="0">W11</f>
        <v>1</v>
      </c>
      <c r="B11" s="6" t="s">
        <v>99</v>
      </c>
      <c r="C11" s="6" t="s">
        <v>100</v>
      </c>
      <c r="D11" s="6" t="s">
        <v>58</v>
      </c>
      <c r="E11" s="6">
        <v>1</v>
      </c>
      <c r="F11" s="17">
        <f t="shared" ref="F11:F29" si="1">IF(E11=0,,($E$9-E11)*$E$7*100/$E$9)</f>
        <v>177.77777777777777</v>
      </c>
      <c r="G11" s="6">
        <v>1</v>
      </c>
      <c r="H11" s="17">
        <f t="shared" ref="H11:H25" si="2">IF(G11=0,,($G$9-G11)*$G$7*100/$G$9)</f>
        <v>171.42857142857142</v>
      </c>
      <c r="I11" s="6"/>
      <c r="J11" s="7">
        <f t="shared" ref="J11:J33" si="3">IF(I11=0,,($I$9-I11)*$I$7*100/$I$9)</f>
        <v>0</v>
      </c>
      <c r="K11" s="6">
        <v>2</v>
      </c>
      <c r="L11" s="17">
        <f t="shared" ref="L11:L33" si="4">IF(K11=0,,($K$9-K11)*$K$7*100/$K$9)</f>
        <v>171.42857142857142</v>
      </c>
      <c r="M11" s="6"/>
      <c r="N11" s="7">
        <f t="shared" ref="N11:N33" si="5">IF(M11=0,,($M$9-M11)*$M$7*100/$M$9)</f>
        <v>0</v>
      </c>
      <c r="O11" s="6"/>
      <c r="P11" s="7">
        <f t="shared" ref="P11:P33" si="6">IF(O11=0,,($O$9-O11)*$O$7*100/$O$9)</f>
        <v>0</v>
      </c>
      <c r="Q11" s="6">
        <v>1</v>
      </c>
      <c r="R11" s="17">
        <f t="shared" ref="R11:R27" si="7">IF(Q11=0,,($Q$9-Q11)*$Q$7*100/$Q$9)</f>
        <v>257.14285714285717</v>
      </c>
      <c r="S11" s="6"/>
      <c r="T11" s="7">
        <f t="shared" ref="T11:T33" si="8">IF(S11=0,,($S$9-S11)*$S$7*100/$S$9)</f>
        <v>0</v>
      </c>
      <c r="U11" s="8">
        <f>F11+R11+N11+T11+H11+J11+L11</f>
        <v>777.77777777777783</v>
      </c>
      <c r="V11" s="6">
        <f t="shared" ref="V11:V33" si="9">COUNTA(E11,I11,K11,M11,O11,S11,Q11,G11)</f>
        <v>4</v>
      </c>
      <c r="W11" s="6">
        <f t="shared" ref="W11:W33" si="10">ROW(B11)-10</f>
        <v>1</v>
      </c>
      <c r="X11" s="13">
        <f t="shared" ref="X11:X33" si="11">V11/$G$3</f>
        <v>0.5</v>
      </c>
    </row>
    <row r="12" spans="1:24" x14ac:dyDescent="0.3">
      <c r="A12" s="5">
        <f t="shared" si="0"/>
        <v>2</v>
      </c>
      <c r="B12" s="6" t="s">
        <v>165</v>
      </c>
      <c r="C12" s="6" t="s">
        <v>209</v>
      </c>
      <c r="D12" s="6" t="s">
        <v>48</v>
      </c>
      <c r="E12" s="6">
        <v>2</v>
      </c>
      <c r="F12" s="17">
        <f t="shared" si="1"/>
        <v>155.55555555555554</v>
      </c>
      <c r="G12" s="6">
        <v>2</v>
      </c>
      <c r="H12" s="7">
        <f t="shared" si="2"/>
        <v>142.85714285714286</v>
      </c>
      <c r="I12" s="6">
        <v>1</v>
      </c>
      <c r="J12" s="17">
        <f t="shared" si="3"/>
        <v>175</v>
      </c>
      <c r="K12" s="6">
        <v>8</v>
      </c>
      <c r="L12" s="7">
        <f t="shared" si="4"/>
        <v>85.714285714285708</v>
      </c>
      <c r="M12" s="6">
        <v>5</v>
      </c>
      <c r="N12" s="7">
        <f t="shared" si="5"/>
        <v>128.57142857142858</v>
      </c>
      <c r="O12" s="6">
        <v>2</v>
      </c>
      <c r="P12" s="17">
        <f t="shared" si="6"/>
        <v>166.66666666666666</v>
      </c>
      <c r="Q12" s="6">
        <v>2</v>
      </c>
      <c r="R12" s="17">
        <f t="shared" si="7"/>
        <v>214.28571428571428</v>
      </c>
      <c r="S12" s="6"/>
      <c r="T12" s="7">
        <f t="shared" si="8"/>
        <v>0</v>
      </c>
      <c r="U12" s="8">
        <f>F12+R12+J12+P12</f>
        <v>711.50793650793651</v>
      </c>
      <c r="V12" s="6">
        <f t="shared" si="9"/>
        <v>7</v>
      </c>
      <c r="W12" s="6">
        <f t="shared" si="10"/>
        <v>2</v>
      </c>
      <c r="X12" s="13">
        <f t="shared" si="11"/>
        <v>0.875</v>
      </c>
    </row>
    <row r="13" spans="1:24" x14ac:dyDescent="0.3">
      <c r="A13" s="5">
        <f t="shared" si="0"/>
        <v>3</v>
      </c>
      <c r="B13" s="6" t="s">
        <v>144</v>
      </c>
      <c r="C13" s="6" t="s">
        <v>145</v>
      </c>
      <c r="D13" s="6" t="s">
        <v>252</v>
      </c>
      <c r="E13" s="6">
        <v>3</v>
      </c>
      <c r="F13" s="17">
        <f t="shared" si="1"/>
        <v>133.33333333333334</v>
      </c>
      <c r="G13" s="6"/>
      <c r="H13" s="7">
        <f t="shared" si="2"/>
        <v>0</v>
      </c>
      <c r="I13" s="6">
        <v>3</v>
      </c>
      <c r="J13" s="7">
        <f t="shared" si="3"/>
        <v>125</v>
      </c>
      <c r="K13" s="6">
        <v>5</v>
      </c>
      <c r="L13" s="7">
        <f t="shared" si="4"/>
        <v>128.57142857142858</v>
      </c>
      <c r="M13" s="6">
        <v>1</v>
      </c>
      <c r="N13" s="17">
        <f t="shared" si="5"/>
        <v>185.71428571428572</v>
      </c>
      <c r="O13" s="6">
        <v>1</v>
      </c>
      <c r="P13" s="17">
        <f t="shared" si="6"/>
        <v>183.33333333333334</v>
      </c>
      <c r="Q13" s="6">
        <v>3</v>
      </c>
      <c r="R13" s="17">
        <f t="shared" si="7"/>
        <v>171.42857142857142</v>
      </c>
      <c r="S13" s="6"/>
      <c r="T13" s="7">
        <f t="shared" si="8"/>
        <v>0</v>
      </c>
      <c r="U13" s="8">
        <f>P13+N13+R13+F13</f>
        <v>673.80952380952385</v>
      </c>
      <c r="V13" s="6">
        <f t="shared" si="9"/>
        <v>6</v>
      </c>
      <c r="W13" s="6">
        <f t="shared" si="10"/>
        <v>3</v>
      </c>
      <c r="X13" s="13">
        <f t="shared" si="11"/>
        <v>0.75</v>
      </c>
    </row>
    <row r="14" spans="1:24" x14ac:dyDescent="0.3">
      <c r="A14" s="5">
        <f t="shared" si="0"/>
        <v>4</v>
      </c>
      <c r="B14" s="6" t="s">
        <v>374</v>
      </c>
      <c r="C14" s="6" t="s">
        <v>375</v>
      </c>
      <c r="D14" s="6" t="s">
        <v>129</v>
      </c>
      <c r="E14" s="6"/>
      <c r="F14" s="7">
        <f t="shared" si="1"/>
        <v>0</v>
      </c>
      <c r="G14" s="6"/>
      <c r="H14" s="7">
        <f t="shared" si="2"/>
        <v>0</v>
      </c>
      <c r="I14" s="6">
        <v>3</v>
      </c>
      <c r="J14" s="7">
        <f t="shared" si="3"/>
        <v>125</v>
      </c>
      <c r="K14" s="6"/>
      <c r="L14" s="7">
        <f t="shared" si="4"/>
        <v>0</v>
      </c>
      <c r="M14" s="6">
        <v>8</v>
      </c>
      <c r="N14" s="7">
        <f t="shared" si="5"/>
        <v>85.714285714285708</v>
      </c>
      <c r="O14" s="6">
        <v>3</v>
      </c>
      <c r="P14" s="7">
        <f t="shared" si="6"/>
        <v>150</v>
      </c>
      <c r="Q14" s="6">
        <v>3</v>
      </c>
      <c r="R14" s="7">
        <f t="shared" si="7"/>
        <v>171.42857142857142</v>
      </c>
      <c r="S14" s="6"/>
      <c r="T14" s="7">
        <f t="shared" si="8"/>
        <v>0</v>
      </c>
      <c r="U14" s="8">
        <f t="shared" ref="U14:U33" si="12">F14+R14+N14+T14+H14+J14+L14</f>
        <v>382.14285714285711</v>
      </c>
      <c r="V14" s="6">
        <f t="shared" si="9"/>
        <v>4</v>
      </c>
      <c r="W14" s="6">
        <f t="shared" si="10"/>
        <v>4</v>
      </c>
      <c r="X14" s="13">
        <f t="shared" si="11"/>
        <v>0.5</v>
      </c>
    </row>
    <row r="15" spans="1:24" x14ac:dyDescent="0.3">
      <c r="A15" s="5">
        <f t="shared" si="0"/>
        <v>5</v>
      </c>
      <c r="B15" s="6" t="s">
        <v>167</v>
      </c>
      <c r="C15" s="6" t="s">
        <v>168</v>
      </c>
      <c r="D15" s="6" t="s">
        <v>89</v>
      </c>
      <c r="E15" s="6">
        <v>6</v>
      </c>
      <c r="F15" s="7">
        <f t="shared" si="1"/>
        <v>66.666666666666671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2</v>
      </c>
      <c r="N15" s="7">
        <f t="shared" si="5"/>
        <v>171.42857142857142</v>
      </c>
      <c r="O15" s="6"/>
      <c r="P15" s="7">
        <f t="shared" si="6"/>
        <v>0</v>
      </c>
      <c r="Q15" s="6">
        <v>5</v>
      </c>
      <c r="R15" s="7">
        <f t="shared" si="7"/>
        <v>85.714285714285708</v>
      </c>
      <c r="S15" s="6"/>
      <c r="T15" s="7">
        <f t="shared" si="8"/>
        <v>0</v>
      </c>
      <c r="U15" s="8">
        <f t="shared" si="12"/>
        <v>323.8095238095238</v>
      </c>
      <c r="V15" s="6">
        <f t="shared" si="9"/>
        <v>3</v>
      </c>
      <c r="W15" s="6">
        <f t="shared" si="10"/>
        <v>5</v>
      </c>
      <c r="X15" s="13">
        <f t="shared" si="11"/>
        <v>0.375</v>
      </c>
    </row>
    <row r="16" spans="1:24" x14ac:dyDescent="0.3">
      <c r="A16" s="5">
        <f t="shared" si="0"/>
        <v>6</v>
      </c>
      <c r="B16" s="6" t="s">
        <v>333</v>
      </c>
      <c r="C16" s="6" t="s">
        <v>148</v>
      </c>
      <c r="D16" s="6" t="s">
        <v>65</v>
      </c>
      <c r="E16" s="6"/>
      <c r="F16" s="7">
        <f t="shared" si="1"/>
        <v>0</v>
      </c>
      <c r="G16" s="6">
        <v>3</v>
      </c>
      <c r="H16" s="7">
        <f t="shared" si="2"/>
        <v>114.28571428571429</v>
      </c>
      <c r="I16" s="6"/>
      <c r="J16" s="7">
        <f t="shared" si="3"/>
        <v>0</v>
      </c>
      <c r="K16" s="6">
        <v>9</v>
      </c>
      <c r="L16" s="7">
        <f t="shared" si="4"/>
        <v>71.428571428571431</v>
      </c>
      <c r="M16" s="6">
        <v>6</v>
      </c>
      <c r="N16" s="7">
        <f t="shared" si="5"/>
        <v>114.28571428571429</v>
      </c>
      <c r="O16" s="6">
        <v>3</v>
      </c>
      <c r="P16" s="7">
        <f t="shared" si="6"/>
        <v>150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12"/>
        <v>300</v>
      </c>
      <c r="V16" s="6">
        <f t="shared" si="9"/>
        <v>4</v>
      </c>
      <c r="W16" s="6">
        <f t="shared" si="10"/>
        <v>6</v>
      </c>
      <c r="X16" s="13">
        <f t="shared" si="11"/>
        <v>0.5</v>
      </c>
    </row>
    <row r="17" spans="1:24" x14ac:dyDescent="0.3">
      <c r="A17" s="5">
        <f t="shared" si="0"/>
        <v>7</v>
      </c>
      <c r="B17" s="6" t="s">
        <v>172</v>
      </c>
      <c r="C17" s="6" t="s">
        <v>173</v>
      </c>
      <c r="D17" s="6" t="s">
        <v>58</v>
      </c>
      <c r="E17" s="6">
        <v>7</v>
      </c>
      <c r="F17" s="7">
        <f t="shared" si="1"/>
        <v>44.444444444444443</v>
      </c>
      <c r="G17" s="6">
        <v>5</v>
      </c>
      <c r="H17" s="7">
        <f t="shared" si="2"/>
        <v>57.142857142857146</v>
      </c>
      <c r="I17" s="6"/>
      <c r="J17" s="7">
        <f t="shared" si="3"/>
        <v>0</v>
      </c>
      <c r="K17" s="6"/>
      <c r="L17" s="7">
        <f t="shared" si="4"/>
        <v>0</v>
      </c>
      <c r="M17" s="6">
        <v>9</v>
      </c>
      <c r="N17" s="7">
        <f t="shared" si="5"/>
        <v>71.428571428571431</v>
      </c>
      <c r="O17" s="6"/>
      <c r="P17" s="7">
        <f t="shared" si="6"/>
        <v>0</v>
      </c>
      <c r="Q17" s="6">
        <v>6</v>
      </c>
      <c r="R17" s="7">
        <f t="shared" si="7"/>
        <v>42.857142857142854</v>
      </c>
      <c r="S17" s="6"/>
      <c r="T17" s="7">
        <f t="shared" si="8"/>
        <v>0</v>
      </c>
      <c r="U17" s="8">
        <f t="shared" si="12"/>
        <v>215.87301587301587</v>
      </c>
      <c r="V17" s="6">
        <f t="shared" si="9"/>
        <v>4</v>
      </c>
      <c r="W17" s="6">
        <f t="shared" si="10"/>
        <v>7</v>
      </c>
      <c r="X17" s="13">
        <f t="shared" si="11"/>
        <v>0.5</v>
      </c>
    </row>
    <row r="18" spans="1:24" x14ac:dyDescent="0.3">
      <c r="A18" s="5">
        <f t="shared" si="0"/>
        <v>8</v>
      </c>
      <c r="B18" s="6" t="s">
        <v>151</v>
      </c>
      <c r="C18" s="6" t="s">
        <v>147</v>
      </c>
      <c r="D18" s="6" t="s">
        <v>48</v>
      </c>
      <c r="E18" s="6">
        <v>5</v>
      </c>
      <c r="F18" s="7">
        <f t="shared" si="1"/>
        <v>88.888888888888886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f t="shared" si="5"/>
        <v>100</v>
      </c>
      <c r="O18" s="6">
        <v>8</v>
      </c>
      <c r="P18" s="7">
        <f t="shared" si="6"/>
        <v>66.666666666666671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12"/>
        <v>188.88888888888889</v>
      </c>
      <c r="V18" s="6">
        <f t="shared" si="9"/>
        <v>3</v>
      </c>
      <c r="W18" s="6">
        <f t="shared" si="10"/>
        <v>8</v>
      </c>
      <c r="X18" s="13">
        <f t="shared" si="11"/>
        <v>0.375</v>
      </c>
    </row>
    <row r="19" spans="1:24" x14ac:dyDescent="0.3">
      <c r="A19" s="6">
        <f t="shared" si="0"/>
        <v>9</v>
      </c>
      <c r="B19" s="6" t="s">
        <v>379</v>
      </c>
      <c r="C19" s="6" t="s">
        <v>380</v>
      </c>
      <c r="D19" s="6" t="s">
        <v>378</v>
      </c>
      <c r="E19" s="6"/>
      <c r="F19" s="7">
        <f t="shared" si="1"/>
        <v>0</v>
      </c>
      <c r="G19" s="6"/>
      <c r="H19" s="7">
        <f t="shared" si="2"/>
        <v>0</v>
      </c>
      <c r="I19" s="6">
        <v>7</v>
      </c>
      <c r="J19" s="7">
        <f t="shared" si="3"/>
        <v>25</v>
      </c>
      <c r="K19" s="6"/>
      <c r="L19" s="7">
        <f t="shared" si="4"/>
        <v>0</v>
      </c>
      <c r="M19" s="6">
        <v>3</v>
      </c>
      <c r="N19" s="7">
        <f t="shared" si="5"/>
        <v>157.14285714285714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12"/>
        <v>182.14285714285714</v>
      </c>
      <c r="V19" s="6">
        <f t="shared" si="9"/>
        <v>2</v>
      </c>
      <c r="W19" s="6">
        <f t="shared" si="10"/>
        <v>9</v>
      </c>
      <c r="X19" s="13">
        <f t="shared" si="11"/>
        <v>0.25</v>
      </c>
    </row>
    <row r="20" spans="1:24" x14ac:dyDescent="0.3">
      <c r="A20" s="5">
        <f t="shared" si="0"/>
        <v>10</v>
      </c>
      <c r="B20" s="6" t="s">
        <v>443</v>
      </c>
      <c r="C20" s="6" t="s">
        <v>444</v>
      </c>
      <c r="D20" s="6" t="s">
        <v>252</v>
      </c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>
        <v>3</v>
      </c>
      <c r="N20" s="7">
        <f t="shared" si="5"/>
        <v>157.14285714285714</v>
      </c>
      <c r="O20" s="6">
        <v>6</v>
      </c>
      <c r="P20" s="7">
        <f t="shared" si="6"/>
        <v>100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12"/>
        <v>157.14285714285714</v>
      </c>
      <c r="V20" s="6">
        <f t="shared" si="9"/>
        <v>2</v>
      </c>
      <c r="W20" s="6">
        <f t="shared" si="10"/>
        <v>10</v>
      </c>
      <c r="X20" s="13">
        <f t="shared" si="11"/>
        <v>0.25</v>
      </c>
    </row>
    <row r="21" spans="1:24" x14ac:dyDescent="0.3">
      <c r="A21" s="5">
        <f t="shared" si="0"/>
        <v>11</v>
      </c>
      <c r="B21" s="6" t="s">
        <v>130</v>
      </c>
      <c r="C21" s="6" t="s">
        <v>100</v>
      </c>
      <c r="D21" s="6" t="s">
        <v>129</v>
      </c>
      <c r="E21" s="6"/>
      <c r="F21" s="7">
        <f t="shared" si="1"/>
        <v>0</v>
      </c>
      <c r="G21" s="6"/>
      <c r="H21" s="7">
        <f t="shared" si="2"/>
        <v>0</v>
      </c>
      <c r="I21" s="6">
        <v>2</v>
      </c>
      <c r="J21" s="7">
        <f t="shared" si="3"/>
        <v>150</v>
      </c>
      <c r="K21" s="6"/>
      <c r="L21" s="7">
        <f t="shared" si="4"/>
        <v>0</v>
      </c>
      <c r="M21" s="6"/>
      <c r="N21" s="7">
        <f t="shared" si="5"/>
        <v>0</v>
      </c>
      <c r="O21" s="6">
        <v>5</v>
      </c>
      <c r="P21" s="7">
        <f t="shared" si="6"/>
        <v>116.66666666666667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12"/>
        <v>150</v>
      </c>
      <c r="V21" s="6">
        <f t="shared" si="9"/>
        <v>2</v>
      </c>
      <c r="W21" s="6">
        <f t="shared" si="10"/>
        <v>11</v>
      </c>
      <c r="X21" s="13">
        <f t="shared" si="11"/>
        <v>0.25</v>
      </c>
    </row>
    <row r="22" spans="1:24" x14ac:dyDescent="0.3">
      <c r="A22" s="5">
        <f t="shared" si="0"/>
        <v>12</v>
      </c>
      <c r="B22" s="6" t="s">
        <v>336</v>
      </c>
      <c r="C22" s="6" t="s">
        <v>334</v>
      </c>
      <c r="D22" s="6" t="s">
        <v>72</v>
      </c>
      <c r="E22" s="6"/>
      <c r="F22" s="7">
        <f t="shared" si="1"/>
        <v>0</v>
      </c>
      <c r="G22" s="6">
        <v>6</v>
      </c>
      <c r="H22" s="7">
        <f t="shared" si="2"/>
        <v>28.571428571428573</v>
      </c>
      <c r="I22" s="6">
        <v>6</v>
      </c>
      <c r="J22" s="7">
        <f t="shared" si="3"/>
        <v>50</v>
      </c>
      <c r="K22" s="6"/>
      <c r="L22" s="7">
        <f t="shared" si="4"/>
        <v>0</v>
      </c>
      <c r="M22" s="6">
        <v>10</v>
      </c>
      <c r="N22" s="7">
        <f t="shared" si="5"/>
        <v>57.142857142857146</v>
      </c>
      <c r="O22" s="6">
        <v>7</v>
      </c>
      <c r="P22" s="7">
        <f t="shared" si="6"/>
        <v>83.333333333333329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12"/>
        <v>135.71428571428572</v>
      </c>
      <c r="V22" s="6">
        <f t="shared" si="9"/>
        <v>4</v>
      </c>
      <c r="W22" s="6">
        <f t="shared" si="10"/>
        <v>12</v>
      </c>
      <c r="X22" s="13">
        <f t="shared" si="11"/>
        <v>0.5</v>
      </c>
    </row>
    <row r="23" spans="1:24" x14ac:dyDescent="0.3">
      <c r="A23" s="5">
        <f t="shared" si="0"/>
        <v>13</v>
      </c>
      <c r="B23" s="6" t="s">
        <v>169</v>
      </c>
      <c r="C23" s="6" t="s">
        <v>170</v>
      </c>
      <c r="D23" s="6" t="s">
        <v>252</v>
      </c>
      <c r="E23" s="6">
        <v>3</v>
      </c>
      <c r="F23" s="7">
        <f t="shared" si="1"/>
        <v>133.33333333333334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12"/>
        <v>133.33333333333334</v>
      </c>
      <c r="V23" s="6">
        <f t="shared" si="9"/>
        <v>1</v>
      </c>
      <c r="W23" s="6">
        <f t="shared" si="10"/>
        <v>13</v>
      </c>
      <c r="X23" s="13">
        <f t="shared" si="11"/>
        <v>0.125</v>
      </c>
    </row>
    <row r="24" spans="1:24" x14ac:dyDescent="0.3">
      <c r="A24" s="5">
        <f t="shared" si="0"/>
        <v>14</v>
      </c>
      <c r="B24" s="6" t="s">
        <v>376</v>
      </c>
      <c r="C24" s="6" t="s">
        <v>377</v>
      </c>
      <c r="D24" s="6" t="s">
        <v>378</v>
      </c>
      <c r="E24" s="6"/>
      <c r="F24" s="7">
        <f t="shared" si="1"/>
        <v>0</v>
      </c>
      <c r="G24" s="6"/>
      <c r="H24" s="7">
        <f t="shared" si="2"/>
        <v>0</v>
      </c>
      <c r="I24" s="6">
        <v>5</v>
      </c>
      <c r="J24" s="7">
        <f t="shared" si="3"/>
        <v>75</v>
      </c>
      <c r="K24" s="6"/>
      <c r="L24" s="7">
        <f t="shared" si="4"/>
        <v>0</v>
      </c>
      <c r="M24" s="6">
        <v>11</v>
      </c>
      <c r="N24" s="7">
        <f t="shared" si="5"/>
        <v>42.857142857142854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12"/>
        <v>117.85714285714286</v>
      </c>
      <c r="V24" s="6">
        <f t="shared" si="9"/>
        <v>2</v>
      </c>
      <c r="W24" s="6">
        <f t="shared" si="10"/>
        <v>14</v>
      </c>
      <c r="X24" s="13">
        <f t="shared" si="11"/>
        <v>0.25</v>
      </c>
    </row>
    <row r="25" spans="1:24" x14ac:dyDescent="0.3">
      <c r="A25" s="5">
        <f t="shared" si="0"/>
        <v>15</v>
      </c>
      <c r="B25" s="6" t="s">
        <v>257</v>
      </c>
      <c r="C25" s="6" t="s">
        <v>103</v>
      </c>
      <c r="D25" s="6" t="s">
        <v>89</v>
      </c>
      <c r="E25" s="6">
        <v>8</v>
      </c>
      <c r="F25" s="7">
        <f t="shared" si="1"/>
        <v>22.222222222222221</v>
      </c>
      <c r="G25" s="6"/>
      <c r="H25" s="7">
        <f t="shared" si="2"/>
        <v>0</v>
      </c>
      <c r="I25" s="6">
        <v>7</v>
      </c>
      <c r="J25" s="7">
        <f t="shared" si="3"/>
        <v>25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12"/>
        <v>47.222222222222221</v>
      </c>
      <c r="V25" s="6">
        <f t="shared" si="9"/>
        <v>2</v>
      </c>
      <c r="W25" s="6">
        <f t="shared" si="10"/>
        <v>15</v>
      </c>
      <c r="X25" s="13">
        <f t="shared" si="11"/>
        <v>0.25</v>
      </c>
    </row>
    <row r="26" spans="1:24" x14ac:dyDescent="0.3">
      <c r="A26" s="5">
        <f t="shared" si="0"/>
        <v>16</v>
      </c>
      <c r="B26" s="6" t="s">
        <v>337</v>
      </c>
      <c r="C26" s="6" t="s">
        <v>335</v>
      </c>
      <c r="D26" s="6" t="s">
        <v>72</v>
      </c>
      <c r="E26" s="6"/>
      <c r="F26" s="7">
        <f t="shared" si="1"/>
        <v>0</v>
      </c>
      <c r="G26" s="6">
        <v>7</v>
      </c>
      <c r="H26" s="7">
        <f>29/2</f>
        <v>14.5</v>
      </c>
      <c r="I26" s="6"/>
      <c r="J26" s="7">
        <f t="shared" si="3"/>
        <v>0</v>
      </c>
      <c r="K26" s="6"/>
      <c r="L26" s="7">
        <f t="shared" si="4"/>
        <v>0</v>
      </c>
      <c r="M26" s="6">
        <v>13</v>
      </c>
      <c r="N26" s="7">
        <f t="shared" si="5"/>
        <v>14.285714285714286</v>
      </c>
      <c r="O26" s="6">
        <v>10</v>
      </c>
      <c r="P26" s="7">
        <f t="shared" si="6"/>
        <v>33.333333333333336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12"/>
        <v>28.785714285714285</v>
      </c>
      <c r="V26" s="6">
        <f t="shared" si="9"/>
        <v>3</v>
      </c>
      <c r="W26" s="6">
        <f t="shared" si="10"/>
        <v>16</v>
      </c>
      <c r="X26" s="13">
        <f t="shared" si="11"/>
        <v>0.375</v>
      </c>
    </row>
    <row r="27" spans="1:24" x14ac:dyDescent="0.3">
      <c r="A27" s="5">
        <f t="shared" si="0"/>
        <v>17</v>
      </c>
      <c r="B27" s="6" t="s">
        <v>357</v>
      </c>
      <c r="C27" s="15" t="s">
        <v>468</v>
      </c>
      <c r="D27" s="6" t="s">
        <v>72</v>
      </c>
      <c r="E27" s="6"/>
      <c r="F27" s="7">
        <f t="shared" si="1"/>
        <v>0</v>
      </c>
      <c r="G27" s="6"/>
      <c r="H27" s="7">
        <f t="shared" ref="H27:H33" si="13">IF(G27=0,,($G$9-G27)*$G$7*100/$G$9)</f>
        <v>0</v>
      </c>
      <c r="I27" s="6"/>
      <c r="J27" s="7">
        <f t="shared" si="3"/>
        <v>0</v>
      </c>
      <c r="K27" s="6"/>
      <c r="L27" s="7">
        <f t="shared" si="4"/>
        <v>0</v>
      </c>
      <c r="M27" s="6">
        <v>12</v>
      </c>
      <c r="N27" s="7">
        <f t="shared" si="5"/>
        <v>28.571428571428573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12"/>
        <v>28.571428571428573</v>
      </c>
      <c r="V27" s="6">
        <f t="shared" si="9"/>
        <v>1</v>
      </c>
      <c r="W27" s="6">
        <f t="shared" si="10"/>
        <v>17</v>
      </c>
      <c r="X27" s="13">
        <f t="shared" si="11"/>
        <v>0.125</v>
      </c>
    </row>
    <row r="28" spans="1:24" x14ac:dyDescent="0.3">
      <c r="A28" s="5">
        <f t="shared" si="0"/>
        <v>18</v>
      </c>
      <c r="B28" s="6" t="s">
        <v>623</v>
      </c>
      <c r="C28" s="6" t="s">
        <v>173</v>
      </c>
      <c r="D28" s="6" t="s">
        <v>58</v>
      </c>
      <c r="E28" s="6"/>
      <c r="F28" s="7">
        <f t="shared" si="1"/>
        <v>0</v>
      </c>
      <c r="G28" s="6"/>
      <c r="H28" s="7">
        <f t="shared" si="13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>
        <v>7</v>
      </c>
      <c r="R28" s="7">
        <f>43/2</f>
        <v>21.5</v>
      </c>
      <c r="S28" s="6"/>
      <c r="T28" s="7">
        <f t="shared" si="8"/>
        <v>0</v>
      </c>
      <c r="U28" s="8">
        <f t="shared" si="12"/>
        <v>21.5</v>
      </c>
      <c r="V28" s="6">
        <f t="shared" si="9"/>
        <v>1</v>
      </c>
      <c r="W28" s="6">
        <f t="shared" si="10"/>
        <v>18</v>
      </c>
      <c r="X28" s="13">
        <f t="shared" si="11"/>
        <v>0.125</v>
      </c>
    </row>
    <row r="29" spans="1:24" x14ac:dyDescent="0.3">
      <c r="A29" s="6">
        <f t="shared" si="0"/>
        <v>19</v>
      </c>
      <c r="B29" s="6" t="s">
        <v>153</v>
      </c>
      <c r="C29" s="6" t="s">
        <v>149</v>
      </c>
      <c r="D29" s="6" t="s">
        <v>72</v>
      </c>
      <c r="E29" s="6"/>
      <c r="F29" s="7">
        <f t="shared" si="1"/>
        <v>0</v>
      </c>
      <c r="G29" s="6"/>
      <c r="H29" s="7">
        <f t="shared" si="13"/>
        <v>0</v>
      </c>
      <c r="I29" s="6"/>
      <c r="J29" s="7">
        <f t="shared" si="3"/>
        <v>0</v>
      </c>
      <c r="K29" s="6"/>
      <c r="L29" s="7">
        <f t="shared" si="4"/>
        <v>0</v>
      </c>
      <c r="M29" s="6">
        <v>13</v>
      </c>
      <c r="N29" s="7">
        <f t="shared" si="5"/>
        <v>14.285714285714286</v>
      </c>
      <c r="O29" s="6"/>
      <c r="P29" s="7">
        <f t="shared" si="6"/>
        <v>0</v>
      </c>
      <c r="Q29" s="6"/>
      <c r="R29" s="7">
        <f>IF(Q29=0,,($Q$9-Q29)*$Q$7*100/$Q$9)</f>
        <v>0</v>
      </c>
      <c r="S29" s="6"/>
      <c r="T29" s="7">
        <f t="shared" si="8"/>
        <v>0</v>
      </c>
      <c r="U29" s="8">
        <f t="shared" si="12"/>
        <v>14.285714285714286</v>
      </c>
      <c r="V29" s="6">
        <f t="shared" si="9"/>
        <v>1</v>
      </c>
      <c r="W29" s="6">
        <f t="shared" si="10"/>
        <v>19</v>
      </c>
      <c r="X29" s="13">
        <f t="shared" si="11"/>
        <v>0.125</v>
      </c>
    </row>
    <row r="30" spans="1:24" x14ac:dyDescent="0.3">
      <c r="A30" s="5">
        <f t="shared" si="0"/>
        <v>20</v>
      </c>
      <c r="B30" s="6" t="s">
        <v>258</v>
      </c>
      <c r="C30" s="6" t="s">
        <v>171</v>
      </c>
      <c r="D30" s="6" t="s">
        <v>89</v>
      </c>
      <c r="E30" s="6">
        <v>9</v>
      </c>
      <c r="F30" s="7">
        <f>22/2</f>
        <v>11</v>
      </c>
      <c r="G30" s="6"/>
      <c r="H30" s="7">
        <f t="shared" si="13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>IF(Q30=0,,($Q$9-Q30)*$Q$7*100/$Q$9)</f>
        <v>0</v>
      </c>
      <c r="S30" s="6"/>
      <c r="T30" s="7">
        <f t="shared" si="8"/>
        <v>0</v>
      </c>
      <c r="U30" s="8">
        <f t="shared" si="12"/>
        <v>11</v>
      </c>
      <c r="V30" s="6">
        <f t="shared" si="9"/>
        <v>1</v>
      </c>
      <c r="W30" s="6">
        <f t="shared" si="10"/>
        <v>20</v>
      </c>
      <c r="X30" s="13">
        <f t="shared" si="11"/>
        <v>0.125</v>
      </c>
    </row>
    <row r="31" spans="1:24" x14ac:dyDescent="0.3">
      <c r="A31" s="5">
        <f t="shared" si="0"/>
        <v>21</v>
      </c>
      <c r="B31" s="6" t="s">
        <v>586</v>
      </c>
      <c r="C31" s="6" t="s">
        <v>363</v>
      </c>
      <c r="D31" s="6"/>
      <c r="E31" s="6"/>
      <c r="F31" s="7">
        <f>IF(E31=0,,($E$9-E31)*$E$7*100/$E$9)</f>
        <v>0</v>
      </c>
      <c r="G31" s="6"/>
      <c r="H31" s="7">
        <f t="shared" si="13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>
        <v>9</v>
      </c>
      <c r="P31" s="7">
        <f t="shared" si="6"/>
        <v>50</v>
      </c>
      <c r="Q31" s="6"/>
      <c r="R31" s="7">
        <f>IF(Q31=0,,($Q$9-Q31)*$Q$7*100/$Q$9)</f>
        <v>0</v>
      </c>
      <c r="S31" s="6"/>
      <c r="T31" s="7">
        <f t="shared" si="8"/>
        <v>0</v>
      </c>
      <c r="U31" s="8">
        <f t="shared" si="12"/>
        <v>0</v>
      </c>
      <c r="V31" s="6">
        <f t="shared" si="9"/>
        <v>1</v>
      </c>
      <c r="W31" s="6">
        <f t="shared" si="10"/>
        <v>21</v>
      </c>
      <c r="X31" s="13">
        <f t="shared" si="11"/>
        <v>0.125</v>
      </c>
    </row>
    <row r="32" spans="1:24" x14ac:dyDescent="0.3">
      <c r="A32" s="5">
        <f t="shared" si="0"/>
        <v>22</v>
      </c>
      <c r="B32" s="6" t="s">
        <v>587</v>
      </c>
      <c r="C32" s="6" t="s">
        <v>588</v>
      </c>
      <c r="D32" s="6"/>
      <c r="E32" s="6"/>
      <c r="F32" s="7">
        <f>IF(E32=0,,($E$9-E32)*$E$7*100/$E$9)</f>
        <v>0</v>
      </c>
      <c r="G32" s="6"/>
      <c r="H32" s="7">
        <f t="shared" si="13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6">
        <v>11</v>
      </c>
      <c r="P32" s="7">
        <f t="shared" si="6"/>
        <v>16.666666666666668</v>
      </c>
      <c r="Q32" s="6"/>
      <c r="R32" s="7">
        <f>IF(Q32=0,,($Q$9-Q32)*$Q$7*100/$Q$9)</f>
        <v>0</v>
      </c>
      <c r="S32" s="6"/>
      <c r="T32" s="7">
        <f t="shared" si="8"/>
        <v>0</v>
      </c>
      <c r="U32" s="8">
        <f t="shared" si="12"/>
        <v>0</v>
      </c>
      <c r="V32" s="6">
        <f t="shared" si="9"/>
        <v>1</v>
      </c>
      <c r="W32" s="6">
        <f t="shared" si="10"/>
        <v>22</v>
      </c>
      <c r="X32" s="13">
        <f t="shared" si="11"/>
        <v>0.125</v>
      </c>
    </row>
    <row r="33" spans="1:24" x14ac:dyDescent="0.3">
      <c r="A33" s="5">
        <f t="shared" si="0"/>
        <v>23</v>
      </c>
      <c r="B33" s="6" t="s">
        <v>589</v>
      </c>
      <c r="C33" s="6" t="s">
        <v>590</v>
      </c>
      <c r="D33" s="6"/>
      <c r="E33" s="6"/>
      <c r="F33" s="7">
        <f>IF(E33=0,,($E$9-E33)*$E$7*100/$E$9)</f>
        <v>0</v>
      </c>
      <c r="G33" s="6"/>
      <c r="H33" s="7">
        <f t="shared" si="13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>
        <v>11</v>
      </c>
      <c r="P33" s="7">
        <f t="shared" si="6"/>
        <v>16.666666666666668</v>
      </c>
      <c r="Q33" s="6"/>
      <c r="R33" s="7">
        <f>IF(Q33=0,,($Q$9-Q33)*$Q$7*100/$Q$9)</f>
        <v>0</v>
      </c>
      <c r="S33" s="6"/>
      <c r="T33" s="7">
        <f t="shared" si="8"/>
        <v>0</v>
      </c>
      <c r="U33" s="8">
        <f t="shared" si="12"/>
        <v>0</v>
      </c>
      <c r="V33" s="6">
        <f t="shared" si="9"/>
        <v>1</v>
      </c>
      <c r="W33" s="6">
        <f t="shared" si="10"/>
        <v>23</v>
      </c>
      <c r="X33" s="13">
        <f t="shared" si="11"/>
        <v>0.125</v>
      </c>
    </row>
    <row r="34" spans="1:24" x14ac:dyDescent="0.3">
      <c r="A34" s="5">
        <f t="shared" ref="A34:A52" si="14">W34</f>
        <v>24</v>
      </c>
      <c r="B34" s="6"/>
      <c r="C34" s="6"/>
      <c r="D34" s="6"/>
      <c r="E34" s="6"/>
      <c r="F34" s="7">
        <f>9/2</f>
        <v>4.5</v>
      </c>
      <c r="G34" s="6"/>
      <c r="H34" s="7">
        <f t="shared" ref="H34:H52" si="15">IF(G34=0,,($G$9-G34)*$G$7*100/$G$9)</f>
        <v>0</v>
      </c>
      <c r="I34" s="6"/>
      <c r="J34" s="7">
        <f t="shared" ref="J34:J52" si="16">IF(I34=0,,($I$9-I34)*$I$7*100/$I$9)</f>
        <v>0</v>
      </c>
      <c r="K34" s="6"/>
      <c r="L34" s="7">
        <f t="shared" ref="L34:L52" si="17">IF(K34=0,,($K$9-K34)*$K$7*100/$K$9)</f>
        <v>0</v>
      </c>
      <c r="M34" s="6"/>
      <c r="N34" s="7">
        <f t="shared" ref="N34:N35" si="18">IF(M34=0,,($M$9-M34)*$M$7*100/$M$9)</f>
        <v>0</v>
      </c>
      <c r="O34" s="6"/>
      <c r="P34" s="7">
        <f t="shared" ref="P34:P48" si="19">IF(O34=0,,($O$9-O34)*$O$7*100/$O$9)</f>
        <v>0</v>
      </c>
      <c r="Q34" s="6"/>
      <c r="R34" s="7">
        <f t="shared" ref="R34:R52" si="20">IF(Q34=0,,($Q$9-Q34)*$Q$7*100/$Q$9)</f>
        <v>0</v>
      </c>
      <c r="S34" s="6"/>
      <c r="T34" s="7">
        <f t="shared" ref="T34:T52" si="21">IF(S34=0,,($S$9-S34)*$S$7*100/$S$9)</f>
        <v>0</v>
      </c>
      <c r="U34" s="8">
        <f t="shared" ref="U34:U52" si="22">F34+R34+N34+T34+H34+J34+L34</f>
        <v>4.5</v>
      </c>
      <c r="V34" s="6">
        <f t="shared" ref="V34:V52" si="23">COUNTA(E34,I34,K34,M34,O34,S34,Q34,G34)</f>
        <v>0</v>
      </c>
      <c r="W34" s="6">
        <f t="shared" ref="W34:W52" si="24">ROW(B34)-10</f>
        <v>24</v>
      </c>
      <c r="X34" s="13">
        <f t="shared" ref="X34:X52" si="25">V34/$G$3</f>
        <v>0</v>
      </c>
    </row>
    <row r="35" spans="1:24" x14ac:dyDescent="0.3">
      <c r="A35" s="5">
        <f t="shared" si="14"/>
        <v>25</v>
      </c>
      <c r="B35" s="6"/>
      <c r="C35" s="6"/>
      <c r="D35" s="6"/>
      <c r="E35" s="6"/>
      <c r="F35" s="7">
        <f t="shared" ref="F35:F52" si="26">IF(E35=0,,($E$9-E35)*$E$7*100/$E$9)</f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6"/>
      <c r="P35" s="7">
        <f t="shared" si="19"/>
        <v>0</v>
      </c>
      <c r="Q35" s="6"/>
      <c r="R35" s="7">
        <f t="shared" si="20"/>
        <v>0</v>
      </c>
      <c r="S35" s="6"/>
      <c r="T35" s="7">
        <f t="shared" si="21"/>
        <v>0</v>
      </c>
      <c r="U35" s="8">
        <f t="shared" si="22"/>
        <v>0</v>
      </c>
      <c r="V35" s="6">
        <f t="shared" si="23"/>
        <v>0</v>
      </c>
      <c r="W35" s="6">
        <f t="shared" si="24"/>
        <v>25</v>
      </c>
      <c r="X35" s="13">
        <f t="shared" si="25"/>
        <v>0</v>
      </c>
    </row>
    <row r="36" spans="1:24" x14ac:dyDescent="0.3">
      <c r="A36" s="5">
        <f t="shared" si="14"/>
        <v>26</v>
      </c>
      <c r="B36" s="6"/>
      <c r="C36" s="6"/>
      <c r="D36" s="6"/>
      <c r="E36" s="6"/>
      <c r="F36" s="7">
        <f t="shared" si="26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 t="shared" si="17"/>
        <v>0</v>
      </c>
      <c r="M36" s="6"/>
      <c r="N36" s="7">
        <f>7/2</f>
        <v>3.5</v>
      </c>
      <c r="O36" s="6"/>
      <c r="P36" s="7">
        <f t="shared" si="19"/>
        <v>0</v>
      </c>
      <c r="Q36" s="6"/>
      <c r="R36" s="7">
        <f t="shared" si="20"/>
        <v>0</v>
      </c>
      <c r="S36" s="6"/>
      <c r="T36" s="7">
        <f t="shared" si="21"/>
        <v>0</v>
      </c>
      <c r="U36" s="8">
        <f t="shared" si="22"/>
        <v>3.5</v>
      </c>
      <c r="V36" s="6">
        <f t="shared" si="23"/>
        <v>0</v>
      </c>
      <c r="W36" s="6">
        <f t="shared" si="24"/>
        <v>26</v>
      </c>
      <c r="X36" s="13">
        <f t="shared" si="25"/>
        <v>0</v>
      </c>
    </row>
    <row r="37" spans="1:24" x14ac:dyDescent="0.3">
      <c r="A37" s="5">
        <f t="shared" si="14"/>
        <v>27</v>
      </c>
      <c r="B37" s="6"/>
      <c r="C37" s="6"/>
      <c r="D37" s="6"/>
      <c r="E37" s="6"/>
      <c r="F37" s="7">
        <f t="shared" si="26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si="17"/>
        <v>0</v>
      </c>
      <c r="M37" s="6"/>
      <c r="N37" s="7">
        <f t="shared" ref="N37:N52" si="27">IF(M37=0,,($M$9-M37)*$M$7*100/$M$9)</f>
        <v>0</v>
      </c>
      <c r="O37" s="6"/>
      <c r="P37" s="7">
        <f t="shared" si="19"/>
        <v>0</v>
      </c>
      <c r="Q37" s="6"/>
      <c r="R37" s="7">
        <f t="shared" si="20"/>
        <v>0</v>
      </c>
      <c r="S37" s="6"/>
      <c r="T37" s="7">
        <f t="shared" si="21"/>
        <v>0</v>
      </c>
      <c r="U37" s="8">
        <f t="shared" si="22"/>
        <v>0</v>
      </c>
      <c r="V37" s="6">
        <f t="shared" si="23"/>
        <v>0</v>
      </c>
      <c r="W37" s="6">
        <f t="shared" si="24"/>
        <v>27</v>
      </c>
      <c r="X37" s="13">
        <f t="shared" si="25"/>
        <v>0</v>
      </c>
    </row>
    <row r="38" spans="1:24" x14ac:dyDescent="0.3">
      <c r="A38" s="5">
        <f t="shared" si="14"/>
        <v>28</v>
      </c>
      <c r="B38" s="6"/>
      <c r="C38" s="6"/>
      <c r="D38" s="6"/>
      <c r="E38" s="6"/>
      <c r="F38" s="7">
        <f t="shared" si="26"/>
        <v>0</v>
      </c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17"/>
        <v>0</v>
      </c>
      <c r="M38" s="6"/>
      <c r="N38" s="7">
        <f t="shared" si="27"/>
        <v>0</v>
      </c>
      <c r="O38" s="6"/>
      <c r="P38" s="7">
        <f t="shared" si="19"/>
        <v>0</v>
      </c>
      <c r="Q38" s="6"/>
      <c r="R38" s="7">
        <f t="shared" si="20"/>
        <v>0</v>
      </c>
      <c r="S38" s="6"/>
      <c r="T38" s="7">
        <f t="shared" si="21"/>
        <v>0</v>
      </c>
      <c r="U38" s="8">
        <f t="shared" si="22"/>
        <v>0</v>
      </c>
      <c r="V38" s="6">
        <f t="shared" si="23"/>
        <v>0</v>
      </c>
      <c r="W38" s="6">
        <f t="shared" si="24"/>
        <v>28</v>
      </c>
      <c r="X38" s="13">
        <f t="shared" si="25"/>
        <v>0</v>
      </c>
    </row>
    <row r="39" spans="1:24" x14ac:dyDescent="0.3">
      <c r="A39" s="5">
        <f t="shared" si="14"/>
        <v>29</v>
      </c>
      <c r="B39" s="6"/>
      <c r="C39" s="6"/>
      <c r="D39" s="6"/>
      <c r="E39" s="6"/>
      <c r="F39" s="7">
        <f t="shared" si="26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17"/>
        <v>0</v>
      </c>
      <c r="M39" s="6"/>
      <c r="N39" s="7">
        <f t="shared" si="27"/>
        <v>0</v>
      </c>
      <c r="O39" s="6"/>
      <c r="P39" s="7">
        <f t="shared" si="19"/>
        <v>0</v>
      </c>
      <c r="Q39" s="6"/>
      <c r="R39" s="7">
        <f t="shared" si="20"/>
        <v>0</v>
      </c>
      <c r="S39" s="6"/>
      <c r="T39" s="7">
        <f t="shared" si="21"/>
        <v>0</v>
      </c>
      <c r="U39" s="8">
        <f t="shared" si="22"/>
        <v>0</v>
      </c>
      <c r="V39" s="6">
        <f t="shared" si="23"/>
        <v>0</v>
      </c>
      <c r="W39" s="6">
        <f t="shared" si="24"/>
        <v>29</v>
      </c>
      <c r="X39" s="13">
        <f t="shared" si="25"/>
        <v>0</v>
      </c>
    </row>
    <row r="40" spans="1:24" x14ac:dyDescent="0.3">
      <c r="A40" s="5">
        <f t="shared" si="14"/>
        <v>30</v>
      </c>
      <c r="B40" s="6"/>
      <c r="C40" s="6"/>
      <c r="D40" s="6"/>
      <c r="E40" s="6"/>
      <c r="F40" s="7">
        <f t="shared" si="26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17"/>
        <v>0</v>
      </c>
      <c r="M40" s="6"/>
      <c r="N40" s="7">
        <f t="shared" si="27"/>
        <v>0</v>
      </c>
      <c r="O40" s="6"/>
      <c r="P40" s="7">
        <f t="shared" si="19"/>
        <v>0</v>
      </c>
      <c r="Q40" s="6"/>
      <c r="R40" s="7">
        <f t="shared" si="20"/>
        <v>0</v>
      </c>
      <c r="S40" s="6"/>
      <c r="T40" s="7">
        <f t="shared" si="21"/>
        <v>0</v>
      </c>
      <c r="U40" s="8">
        <f t="shared" si="22"/>
        <v>0</v>
      </c>
      <c r="V40" s="6">
        <f t="shared" si="23"/>
        <v>0</v>
      </c>
      <c r="W40" s="6">
        <f t="shared" si="24"/>
        <v>30</v>
      </c>
      <c r="X40" s="13">
        <f t="shared" si="25"/>
        <v>0</v>
      </c>
    </row>
    <row r="41" spans="1:24" x14ac:dyDescent="0.3">
      <c r="A41" s="5">
        <f t="shared" si="14"/>
        <v>31</v>
      </c>
      <c r="B41" s="6"/>
      <c r="C41" s="6"/>
      <c r="D41" s="6"/>
      <c r="E41" s="6"/>
      <c r="F41" s="7">
        <f t="shared" si="26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17"/>
        <v>0</v>
      </c>
      <c r="M41" s="6"/>
      <c r="N41" s="7">
        <f t="shared" si="27"/>
        <v>0</v>
      </c>
      <c r="O41" s="6"/>
      <c r="P41" s="7">
        <f t="shared" si="19"/>
        <v>0</v>
      </c>
      <c r="Q41" s="6"/>
      <c r="R41" s="7">
        <f t="shared" si="20"/>
        <v>0</v>
      </c>
      <c r="S41" s="6"/>
      <c r="T41" s="7">
        <f t="shared" si="21"/>
        <v>0</v>
      </c>
      <c r="U41" s="8">
        <f t="shared" si="22"/>
        <v>0</v>
      </c>
      <c r="V41" s="6">
        <f t="shared" si="23"/>
        <v>0</v>
      </c>
      <c r="W41" s="6">
        <f t="shared" si="24"/>
        <v>31</v>
      </c>
      <c r="X41" s="13">
        <f t="shared" si="25"/>
        <v>0</v>
      </c>
    </row>
    <row r="42" spans="1:24" x14ac:dyDescent="0.3">
      <c r="A42" s="5">
        <f t="shared" si="14"/>
        <v>32</v>
      </c>
      <c r="B42" s="6"/>
      <c r="C42" s="6"/>
      <c r="D42" s="6"/>
      <c r="E42" s="6"/>
      <c r="F42" s="7">
        <f t="shared" si="26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17"/>
        <v>0</v>
      </c>
      <c r="M42" s="6"/>
      <c r="N42" s="7">
        <f t="shared" si="27"/>
        <v>0</v>
      </c>
      <c r="O42" s="6"/>
      <c r="P42" s="7">
        <f t="shared" si="19"/>
        <v>0</v>
      </c>
      <c r="Q42" s="6"/>
      <c r="R42" s="7">
        <f t="shared" si="20"/>
        <v>0</v>
      </c>
      <c r="S42" s="6"/>
      <c r="T42" s="7">
        <f t="shared" si="21"/>
        <v>0</v>
      </c>
      <c r="U42" s="8">
        <f t="shared" si="22"/>
        <v>0</v>
      </c>
      <c r="V42" s="6">
        <f t="shared" si="23"/>
        <v>0</v>
      </c>
      <c r="W42" s="6">
        <f t="shared" si="24"/>
        <v>32</v>
      </c>
      <c r="X42" s="13">
        <f t="shared" si="25"/>
        <v>0</v>
      </c>
    </row>
    <row r="43" spans="1:24" x14ac:dyDescent="0.3">
      <c r="A43" s="5">
        <f t="shared" si="14"/>
        <v>33</v>
      </c>
      <c r="B43" s="6"/>
      <c r="C43" s="6"/>
      <c r="D43" s="6"/>
      <c r="E43" s="6"/>
      <c r="F43" s="7">
        <f t="shared" si="26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17"/>
        <v>0</v>
      </c>
      <c r="M43" s="6"/>
      <c r="N43" s="7">
        <f t="shared" si="27"/>
        <v>0</v>
      </c>
      <c r="O43" s="6"/>
      <c r="P43" s="7">
        <f t="shared" si="19"/>
        <v>0</v>
      </c>
      <c r="Q43" s="6"/>
      <c r="R43" s="7">
        <f t="shared" si="20"/>
        <v>0</v>
      </c>
      <c r="S43" s="6"/>
      <c r="T43" s="7">
        <f t="shared" si="21"/>
        <v>0</v>
      </c>
      <c r="U43" s="8">
        <f t="shared" si="22"/>
        <v>0</v>
      </c>
      <c r="V43" s="6">
        <f t="shared" si="23"/>
        <v>0</v>
      </c>
      <c r="W43" s="6">
        <f t="shared" si="24"/>
        <v>33</v>
      </c>
      <c r="X43" s="13">
        <f t="shared" si="25"/>
        <v>0</v>
      </c>
    </row>
    <row r="44" spans="1:24" x14ac:dyDescent="0.3">
      <c r="A44" s="5">
        <f t="shared" si="14"/>
        <v>34</v>
      </c>
      <c r="B44" s="6"/>
      <c r="C44" s="6"/>
      <c r="D44" s="6"/>
      <c r="E44" s="6"/>
      <c r="F44" s="7">
        <f t="shared" si="26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17"/>
        <v>0</v>
      </c>
      <c r="M44" s="6"/>
      <c r="N44" s="7">
        <f t="shared" si="27"/>
        <v>0</v>
      </c>
      <c r="O44" s="6"/>
      <c r="P44" s="7">
        <f t="shared" si="19"/>
        <v>0</v>
      </c>
      <c r="Q44" s="6"/>
      <c r="R44" s="7">
        <f t="shared" si="20"/>
        <v>0</v>
      </c>
      <c r="S44" s="6"/>
      <c r="T44" s="7">
        <f t="shared" si="21"/>
        <v>0</v>
      </c>
      <c r="U44" s="8">
        <f t="shared" si="22"/>
        <v>0</v>
      </c>
      <c r="V44" s="6">
        <f t="shared" si="23"/>
        <v>0</v>
      </c>
      <c r="W44" s="6">
        <f t="shared" si="24"/>
        <v>34</v>
      </c>
      <c r="X44" s="13">
        <f t="shared" si="25"/>
        <v>0</v>
      </c>
    </row>
    <row r="45" spans="1:24" x14ac:dyDescent="0.3">
      <c r="A45" s="5">
        <f t="shared" si="14"/>
        <v>35</v>
      </c>
      <c r="B45" s="6"/>
      <c r="C45" s="6"/>
      <c r="D45" s="6"/>
      <c r="E45" s="6"/>
      <c r="F45" s="7">
        <f t="shared" si="26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17"/>
        <v>0</v>
      </c>
      <c r="M45" s="6"/>
      <c r="N45" s="7">
        <f t="shared" si="27"/>
        <v>0</v>
      </c>
      <c r="O45" s="6"/>
      <c r="P45" s="7">
        <f t="shared" si="19"/>
        <v>0</v>
      </c>
      <c r="Q45" s="6"/>
      <c r="R45" s="7">
        <f t="shared" si="20"/>
        <v>0</v>
      </c>
      <c r="S45" s="6"/>
      <c r="T45" s="7">
        <f t="shared" si="21"/>
        <v>0</v>
      </c>
      <c r="U45" s="8">
        <f t="shared" si="22"/>
        <v>0</v>
      </c>
      <c r="V45" s="6">
        <f t="shared" si="23"/>
        <v>0</v>
      </c>
      <c r="W45" s="6">
        <f t="shared" si="24"/>
        <v>35</v>
      </c>
      <c r="X45" s="13">
        <f t="shared" si="25"/>
        <v>0</v>
      </c>
    </row>
    <row r="46" spans="1:24" x14ac:dyDescent="0.3">
      <c r="A46" s="5">
        <f t="shared" si="14"/>
        <v>36</v>
      </c>
      <c r="B46" s="6"/>
      <c r="C46" s="6"/>
      <c r="D46" s="6"/>
      <c r="E46" s="6"/>
      <c r="F46" s="7">
        <f t="shared" si="26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17"/>
        <v>0</v>
      </c>
      <c r="M46" s="6"/>
      <c r="N46" s="7">
        <f t="shared" si="27"/>
        <v>0</v>
      </c>
      <c r="O46" s="6"/>
      <c r="P46" s="7">
        <f t="shared" si="19"/>
        <v>0</v>
      </c>
      <c r="Q46" s="6"/>
      <c r="R46" s="7">
        <f t="shared" si="20"/>
        <v>0</v>
      </c>
      <c r="S46" s="6"/>
      <c r="T46" s="7">
        <f t="shared" si="21"/>
        <v>0</v>
      </c>
      <c r="U46" s="8">
        <f t="shared" si="22"/>
        <v>0</v>
      </c>
      <c r="V46" s="6">
        <f t="shared" si="23"/>
        <v>0</v>
      </c>
      <c r="W46" s="6">
        <f t="shared" si="24"/>
        <v>36</v>
      </c>
      <c r="X46" s="13">
        <f t="shared" si="25"/>
        <v>0</v>
      </c>
    </row>
    <row r="47" spans="1:24" x14ac:dyDescent="0.3">
      <c r="A47" s="5">
        <f t="shared" si="14"/>
        <v>37</v>
      </c>
      <c r="B47" s="6"/>
      <c r="C47" s="6"/>
      <c r="D47" s="6"/>
      <c r="E47" s="6"/>
      <c r="F47" s="7">
        <f t="shared" si="26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17"/>
        <v>0</v>
      </c>
      <c r="M47" s="6"/>
      <c r="N47" s="7">
        <f t="shared" si="27"/>
        <v>0</v>
      </c>
      <c r="O47" s="6"/>
      <c r="P47" s="7">
        <f t="shared" si="19"/>
        <v>0</v>
      </c>
      <c r="Q47" s="6"/>
      <c r="R47" s="7">
        <f t="shared" si="20"/>
        <v>0</v>
      </c>
      <c r="S47" s="6"/>
      <c r="T47" s="7">
        <f t="shared" si="21"/>
        <v>0</v>
      </c>
      <c r="U47" s="8">
        <f t="shared" si="22"/>
        <v>0</v>
      </c>
      <c r="V47" s="6">
        <f t="shared" si="23"/>
        <v>0</v>
      </c>
      <c r="W47" s="6">
        <f t="shared" si="24"/>
        <v>37</v>
      </c>
      <c r="X47" s="13">
        <f t="shared" si="25"/>
        <v>0</v>
      </c>
    </row>
    <row r="48" spans="1:24" x14ac:dyDescent="0.3">
      <c r="A48" s="5">
        <f t="shared" si="14"/>
        <v>38</v>
      </c>
      <c r="B48" s="6"/>
      <c r="C48" s="6"/>
      <c r="D48" s="6"/>
      <c r="E48" s="6"/>
      <c r="F48" s="7">
        <f t="shared" si="26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17"/>
        <v>0</v>
      </c>
      <c r="M48" s="6"/>
      <c r="N48" s="7">
        <f t="shared" si="27"/>
        <v>0</v>
      </c>
      <c r="O48" s="6"/>
      <c r="P48" s="7">
        <f t="shared" si="19"/>
        <v>0</v>
      </c>
      <c r="Q48" s="6"/>
      <c r="R48" s="7">
        <f t="shared" si="20"/>
        <v>0</v>
      </c>
      <c r="S48" s="6"/>
      <c r="T48" s="7">
        <f t="shared" si="21"/>
        <v>0</v>
      </c>
      <c r="U48" s="8">
        <f t="shared" si="22"/>
        <v>0</v>
      </c>
      <c r="V48" s="6">
        <f t="shared" si="23"/>
        <v>0</v>
      </c>
      <c r="W48" s="6">
        <f t="shared" si="24"/>
        <v>38</v>
      </c>
      <c r="X48" s="13">
        <f t="shared" si="25"/>
        <v>0</v>
      </c>
    </row>
    <row r="49" spans="1:24" x14ac:dyDescent="0.3">
      <c r="A49" s="5">
        <f t="shared" si="14"/>
        <v>39</v>
      </c>
      <c r="B49" s="6"/>
      <c r="C49" s="6"/>
      <c r="D49" s="6"/>
      <c r="E49" s="6"/>
      <c r="F49" s="7">
        <f t="shared" si="26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17"/>
        <v>0</v>
      </c>
      <c r="M49" s="6"/>
      <c r="N49" s="7">
        <f t="shared" si="27"/>
        <v>0</v>
      </c>
      <c r="O49" s="6"/>
      <c r="P49" s="7">
        <f>7/2</f>
        <v>3.5</v>
      </c>
      <c r="Q49" s="6"/>
      <c r="R49" s="7">
        <f t="shared" si="20"/>
        <v>0</v>
      </c>
      <c r="S49" s="6"/>
      <c r="T49" s="7">
        <f t="shared" si="21"/>
        <v>0</v>
      </c>
      <c r="U49" s="8">
        <f t="shared" si="22"/>
        <v>0</v>
      </c>
      <c r="V49" s="6">
        <f t="shared" si="23"/>
        <v>0</v>
      </c>
      <c r="W49" s="6">
        <f t="shared" si="24"/>
        <v>39</v>
      </c>
      <c r="X49" s="13">
        <f t="shared" si="25"/>
        <v>0</v>
      </c>
    </row>
    <row r="50" spans="1:24" x14ac:dyDescent="0.3">
      <c r="A50" s="5">
        <f t="shared" si="14"/>
        <v>40</v>
      </c>
      <c r="B50" s="6"/>
      <c r="C50" s="6"/>
      <c r="D50" s="6"/>
      <c r="E50" s="6"/>
      <c r="F50" s="7">
        <f t="shared" si="26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17"/>
        <v>0</v>
      </c>
      <c r="M50" s="6"/>
      <c r="N50" s="7">
        <f t="shared" si="27"/>
        <v>0</v>
      </c>
      <c r="O50" s="6"/>
      <c r="P50" s="7">
        <f>IF(O50=0,,($O$9-O50)*$O$7*100/$O$9)</f>
        <v>0</v>
      </c>
      <c r="Q50" s="6"/>
      <c r="R50" s="7">
        <f t="shared" si="20"/>
        <v>0</v>
      </c>
      <c r="S50" s="6"/>
      <c r="T50" s="7">
        <f t="shared" si="21"/>
        <v>0</v>
      </c>
      <c r="U50" s="8">
        <f t="shared" si="22"/>
        <v>0</v>
      </c>
      <c r="V50" s="6">
        <f t="shared" si="23"/>
        <v>0</v>
      </c>
      <c r="W50" s="6">
        <f t="shared" si="24"/>
        <v>40</v>
      </c>
      <c r="X50" s="13">
        <f t="shared" si="25"/>
        <v>0</v>
      </c>
    </row>
    <row r="51" spans="1:24" x14ac:dyDescent="0.3">
      <c r="A51" s="5">
        <f t="shared" si="14"/>
        <v>41</v>
      </c>
      <c r="B51" s="6"/>
      <c r="C51" s="6"/>
      <c r="D51" s="6"/>
      <c r="E51" s="6"/>
      <c r="F51" s="7">
        <f t="shared" si="26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17"/>
        <v>0</v>
      </c>
      <c r="M51" s="6"/>
      <c r="N51" s="7">
        <f t="shared" si="27"/>
        <v>0</v>
      </c>
      <c r="O51" s="6"/>
      <c r="P51" s="7">
        <f>IF(O51=0,,($O$9-O51)*$O$7*100/$O$9)</f>
        <v>0</v>
      </c>
      <c r="Q51" s="6"/>
      <c r="R51" s="7">
        <f t="shared" si="20"/>
        <v>0</v>
      </c>
      <c r="S51" s="6"/>
      <c r="T51" s="7">
        <f t="shared" si="21"/>
        <v>0</v>
      </c>
      <c r="U51" s="8">
        <f t="shared" si="22"/>
        <v>0</v>
      </c>
      <c r="V51" s="6">
        <f t="shared" si="23"/>
        <v>0</v>
      </c>
      <c r="W51" s="6">
        <f t="shared" si="24"/>
        <v>41</v>
      </c>
      <c r="X51" s="13">
        <f t="shared" si="25"/>
        <v>0</v>
      </c>
    </row>
    <row r="52" spans="1:24" x14ac:dyDescent="0.3">
      <c r="A52" s="5">
        <f t="shared" si="14"/>
        <v>42</v>
      </c>
      <c r="B52" s="6"/>
      <c r="C52" s="6"/>
      <c r="D52" s="6"/>
      <c r="E52" s="6"/>
      <c r="F52" s="7">
        <f t="shared" si="26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17"/>
        <v>0</v>
      </c>
      <c r="M52" s="6"/>
      <c r="N52" s="7">
        <f t="shared" si="27"/>
        <v>0</v>
      </c>
      <c r="O52" s="6"/>
      <c r="P52" s="7">
        <f>IF(O52=0,,($O$9-O52)*$O$7*100/$O$9)</f>
        <v>0</v>
      </c>
      <c r="Q52" s="6"/>
      <c r="R52" s="7">
        <f t="shared" si="20"/>
        <v>0</v>
      </c>
      <c r="S52" s="6"/>
      <c r="T52" s="7">
        <f t="shared" si="21"/>
        <v>0</v>
      </c>
      <c r="U52" s="8">
        <f t="shared" si="22"/>
        <v>0</v>
      </c>
      <c r="V52" s="6">
        <f t="shared" si="23"/>
        <v>0</v>
      </c>
      <c r="W52" s="6">
        <f t="shared" si="24"/>
        <v>42</v>
      </c>
      <c r="X52" s="13">
        <f t="shared" si="25"/>
        <v>0</v>
      </c>
    </row>
    <row r="53" spans="1:24" x14ac:dyDescent="0.3">
      <c r="A53" s="27" t="s">
        <v>237</v>
      </c>
      <c r="B53" s="27"/>
      <c r="C53" s="28"/>
      <c r="E53">
        <f>COUNTA(E11:E52)</f>
        <v>9</v>
      </c>
      <c r="G53">
        <f>COUNTA(G11:G52)</f>
        <v>6</v>
      </c>
      <c r="I53">
        <f>COUNTA(I11:I52)</f>
        <v>8</v>
      </c>
      <c r="K53">
        <f>COUNTA(K11:K52)</f>
        <v>4</v>
      </c>
      <c r="M53">
        <f>COUNTA(M11:M52)</f>
        <v>14</v>
      </c>
      <c r="O53">
        <f>COUNTA(O11:O52)</f>
        <v>12</v>
      </c>
      <c r="Q53">
        <f>COUNTA(Q11:Q52)</f>
        <v>7</v>
      </c>
      <c r="S53">
        <f>COUNTA(S11:S52)</f>
        <v>0</v>
      </c>
    </row>
    <row r="54" spans="1:24" x14ac:dyDescent="0.3">
      <c r="A54" s="30" t="s">
        <v>35</v>
      </c>
      <c r="B54" s="30"/>
      <c r="C54" s="30"/>
      <c r="E54" s="12">
        <f>E53/$G$2</f>
        <v>0.39130434782608697</v>
      </c>
      <c r="G54" s="12">
        <f>G53/$G$2</f>
        <v>0.2608695652173913</v>
      </c>
      <c r="I54" s="12">
        <f>I53/$G$2</f>
        <v>0.34782608695652173</v>
      </c>
      <c r="K54" s="12">
        <f>K53/$G$2</f>
        <v>0.17391304347826086</v>
      </c>
      <c r="M54" s="12">
        <f>M53/$G$2</f>
        <v>0.60869565217391308</v>
      </c>
      <c r="O54" s="12">
        <f>O53/$G$2</f>
        <v>0.52173913043478259</v>
      </c>
      <c r="Q54" s="12">
        <f>Q53/$G$2</f>
        <v>0.30434782608695654</v>
      </c>
      <c r="S54" s="12">
        <f>S53/$G$2</f>
        <v>0</v>
      </c>
    </row>
  </sheetData>
  <sortState xmlns:xlrd2="http://schemas.microsoft.com/office/spreadsheetml/2017/richdata2" ref="A11:X33">
    <sortCondition descending="1" ref="U11:U33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54"/>
  <sheetViews>
    <sheetView zoomScale="80" zoomScaleNormal="8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34" sqref="B3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8" x14ac:dyDescent="0.3">
      <c r="E2" s="31" t="s">
        <v>32</v>
      </c>
      <c r="F2" s="31"/>
      <c r="G2" s="11">
        <f>COUNTA(B11:B52)</f>
        <v>36</v>
      </c>
    </row>
    <row r="3" spans="1:18" x14ac:dyDescent="0.3">
      <c r="B3" s="2"/>
      <c r="E3" s="31" t="s">
        <v>33</v>
      </c>
      <c r="F3" s="31"/>
      <c r="G3" s="11">
        <f>COUNTA(E8:N8)</f>
        <v>5</v>
      </c>
    </row>
    <row r="4" spans="1:18" x14ac:dyDescent="0.3">
      <c r="B4" s="2"/>
      <c r="C4" s="3"/>
    </row>
    <row r="6" spans="1:18" x14ac:dyDescent="0.3">
      <c r="D6" s="1" t="s">
        <v>0</v>
      </c>
      <c r="E6" s="26" t="s">
        <v>269</v>
      </c>
      <c r="F6" s="26"/>
      <c r="G6" s="26" t="s">
        <v>26</v>
      </c>
      <c r="H6" s="26"/>
      <c r="I6" s="26" t="s">
        <v>15</v>
      </c>
      <c r="J6" s="26"/>
      <c r="K6" s="26" t="s">
        <v>270</v>
      </c>
      <c r="L6" s="26"/>
      <c r="M6" s="26" t="s">
        <v>271</v>
      </c>
      <c r="N6" s="26"/>
    </row>
    <row r="7" spans="1:18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  <c r="K7" s="23">
        <v>2</v>
      </c>
      <c r="L7" s="24"/>
      <c r="M7" s="23">
        <v>2</v>
      </c>
      <c r="N7" s="24"/>
    </row>
    <row r="8" spans="1:18" x14ac:dyDescent="0.3">
      <c r="D8" s="1" t="s">
        <v>1</v>
      </c>
      <c r="E8" s="29">
        <v>45578</v>
      </c>
      <c r="F8" s="29"/>
      <c r="G8" s="36">
        <v>45607</v>
      </c>
      <c r="H8" s="37"/>
      <c r="I8" s="36">
        <v>45612</v>
      </c>
      <c r="J8" s="37"/>
      <c r="K8" s="29">
        <v>45683</v>
      </c>
      <c r="L8" s="29"/>
      <c r="M8" s="29">
        <v>45774</v>
      </c>
      <c r="N8" s="29"/>
    </row>
    <row r="9" spans="1:18" x14ac:dyDescent="0.3">
      <c r="D9" s="1" t="s">
        <v>2</v>
      </c>
      <c r="E9" s="26">
        <v>25</v>
      </c>
      <c r="F9" s="26"/>
      <c r="G9" s="23">
        <v>16</v>
      </c>
      <c r="H9" s="24"/>
      <c r="I9" s="23">
        <v>24</v>
      </c>
      <c r="J9" s="24"/>
      <c r="K9" s="26">
        <v>22</v>
      </c>
      <c r="L9" s="26"/>
      <c r="M9" s="26">
        <v>28</v>
      </c>
      <c r="N9" s="26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34</v>
      </c>
      <c r="Q10" s="1" t="s">
        <v>9</v>
      </c>
      <c r="R10" s="1" t="s">
        <v>36</v>
      </c>
    </row>
    <row r="11" spans="1:18" x14ac:dyDescent="0.3">
      <c r="A11" s="5">
        <f t="shared" ref="A11:A46" si="0">Q11</f>
        <v>1</v>
      </c>
      <c r="B11" s="6" t="s">
        <v>188</v>
      </c>
      <c r="C11" s="6" t="s">
        <v>137</v>
      </c>
      <c r="D11" s="6" t="s">
        <v>189</v>
      </c>
      <c r="E11" s="6">
        <v>2</v>
      </c>
      <c r="F11" s="7">
        <f t="shared" ref="F11:F34" si="1">IF(E11=0,,($E$9-E11)*$E$7*100/$E$9)</f>
        <v>184</v>
      </c>
      <c r="G11" s="6">
        <v>8</v>
      </c>
      <c r="H11" s="7">
        <f t="shared" ref="H11:H45" si="2">IF(G11=0,,($G$9-G11)*$G$7*100/$G$9)</f>
        <v>100</v>
      </c>
      <c r="I11" s="6">
        <v>1</v>
      </c>
      <c r="J11" s="7">
        <f t="shared" ref="J11:J46" si="3">IF(I11=0,,($I$9-I11)*$I$7*100/$I$9)</f>
        <v>191.66666666666666</v>
      </c>
      <c r="K11" s="6">
        <v>1</v>
      </c>
      <c r="L11" s="7">
        <f t="shared" ref="L11:L29" si="4">IF(K11=0,,($K$9-K11)*$K$7*100/$K$9)</f>
        <v>190.90909090909091</v>
      </c>
      <c r="M11" s="6">
        <v>2</v>
      </c>
      <c r="N11" s="7">
        <f t="shared" ref="N11:N39" si="5">IF(M11=0,,($M$9-M11)*$M$7*100/$M$9)</f>
        <v>185.71428571428572</v>
      </c>
      <c r="O11" s="8">
        <f t="shared" ref="O11:O46" si="6">F11+H11+J11+L11+N11</f>
        <v>852.29004329004329</v>
      </c>
      <c r="P11" s="6">
        <f t="shared" ref="P11:P46" si="7">COUNTA(E11,G11,I11,K11,M11)</f>
        <v>5</v>
      </c>
      <c r="Q11" s="6">
        <f t="shared" ref="Q11:Q46" si="8">ROW(B11)-10</f>
        <v>1</v>
      </c>
      <c r="R11" s="13">
        <f t="shared" ref="R11:R46" si="9">P11/$G$3</f>
        <v>1</v>
      </c>
    </row>
    <row r="12" spans="1:18" x14ac:dyDescent="0.3">
      <c r="A12" s="5">
        <f t="shared" si="0"/>
        <v>2</v>
      </c>
      <c r="B12" s="6" t="s">
        <v>213</v>
      </c>
      <c r="C12" s="6" t="s">
        <v>90</v>
      </c>
      <c r="D12" s="6" t="s">
        <v>189</v>
      </c>
      <c r="E12" s="6">
        <v>10</v>
      </c>
      <c r="F12" s="7">
        <f t="shared" si="1"/>
        <v>120</v>
      </c>
      <c r="G12" s="6">
        <v>7</v>
      </c>
      <c r="H12" s="7">
        <f t="shared" si="2"/>
        <v>112.5</v>
      </c>
      <c r="I12" s="6">
        <v>8</v>
      </c>
      <c r="J12" s="7">
        <f t="shared" si="3"/>
        <v>133.33333333333334</v>
      </c>
      <c r="K12" s="6">
        <v>3</v>
      </c>
      <c r="L12" s="7">
        <f t="shared" si="4"/>
        <v>172.72727272727272</v>
      </c>
      <c r="M12" s="6">
        <v>3</v>
      </c>
      <c r="N12" s="7">
        <f t="shared" si="5"/>
        <v>178.57142857142858</v>
      </c>
      <c r="O12" s="8">
        <f t="shared" si="6"/>
        <v>717.13203463203467</v>
      </c>
      <c r="P12" s="6">
        <f t="shared" si="7"/>
        <v>5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6" t="s">
        <v>190</v>
      </c>
      <c r="C13" s="6" t="s">
        <v>191</v>
      </c>
      <c r="D13" s="6" t="s">
        <v>189</v>
      </c>
      <c r="E13" s="6">
        <v>3</v>
      </c>
      <c r="F13" s="7">
        <f t="shared" si="1"/>
        <v>176</v>
      </c>
      <c r="G13" s="6">
        <v>5</v>
      </c>
      <c r="H13" s="7">
        <f t="shared" si="2"/>
        <v>137.5</v>
      </c>
      <c r="I13" s="6">
        <v>7</v>
      </c>
      <c r="J13" s="7">
        <f t="shared" si="3"/>
        <v>141.66666666666666</v>
      </c>
      <c r="K13" s="6">
        <v>2</v>
      </c>
      <c r="L13" s="7">
        <f t="shared" si="4"/>
        <v>181.81818181818181</v>
      </c>
      <c r="M13" s="6">
        <v>17</v>
      </c>
      <c r="N13" s="7">
        <f t="shared" si="5"/>
        <v>78.571428571428569</v>
      </c>
      <c r="O13" s="8">
        <f t="shared" si="6"/>
        <v>715.55627705627705</v>
      </c>
      <c r="P13" s="6">
        <f t="shared" si="7"/>
        <v>5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6" t="s">
        <v>156</v>
      </c>
      <c r="C14" s="6" t="s">
        <v>114</v>
      </c>
      <c r="D14" s="6" t="s">
        <v>291</v>
      </c>
      <c r="E14" s="6">
        <v>3</v>
      </c>
      <c r="F14" s="7">
        <f t="shared" si="1"/>
        <v>176</v>
      </c>
      <c r="G14" s="6">
        <v>1</v>
      </c>
      <c r="H14" s="7">
        <f t="shared" si="2"/>
        <v>187.5</v>
      </c>
      <c r="I14" s="6"/>
      <c r="J14" s="7">
        <f t="shared" si="3"/>
        <v>0</v>
      </c>
      <c r="K14" s="6">
        <v>5</v>
      </c>
      <c r="L14" s="7">
        <f t="shared" si="4"/>
        <v>154.54545454545453</v>
      </c>
      <c r="M14" s="6">
        <v>3</v>
      </c>
      <c r="N14" s="7">
        <f t="shared" si="5"/>
        <v>178.57142857142858</v>
      </c>
      <c r="O14" s="8">
        <f t="shared" si="6"/>
        <v>696.61688311688306</v>
      </c>
      <c r="P14" s="6">
        <f t="shared" si="7"/>
        <v>4</v>
      </c>
      <c r="Q14" s="6">
        <f t="shared" si="8"/>
        <v>4</v>
      </c>
      <c r="R14" s="13">
        <f t="shared" si="9"/>
        <v>0.8</v>
      </c>
    </row>
    <row r="15" spans="1:18" x14ac:dyDescent="0.3">
      <c r="A15" s="5">
        <f t="shared" si="0"/>
        <v>5</v>
      </c>
      <c r="B15" s="6" t="s">
        <v>117</v>
      </c>
      <c r="C15" s="6" t="s">
        <v>118</v>
      </c>
      <c r="D15" s="6" t="s">
        <v>65</v>
      </c>
      <c r="E15" s="6">
        <v>6</v>
      </c>
      <c r="F15" s="7">
        <f t="shared" si="1"/>
        <v>152</v>
      </c>
      <c r="G15" s="6"/>
      <c r="H15" s="7">
        <f t="shared" si="2"/>
        <v>0</v>
      </c>
      <c r="I15" s="6">
        <v>6</v>
      </c>
      <c r="J15" s="7">
        <f t="shared" si="3"/>
        <v>150</v>
      </c>
      <c r="K15" s="6">
        <v>12</v>
      </c>
      <c r="L15" s="7">
        <f t="shared" si="4"/>
        <v>90.909090909090907</v>
      </c>
      <c r="M15" s="6">
        <v>1</v>
      </c>
      <c r="N15" s="7">
        <f t="shared" si="5"/>
        <v>192.85714285714286</v>
      </c>
      <c r="O15" s="8">
        <f t="shared" si="6"/>
        <v>585.76623376623377</v>
      </c>
      <c r="P15" s="6">
        <f t="shared" si="7"/>
        <v>4</v>
      </c>
      <c r="Q15" s="6">
        <f t="shared" si="8"/>
        <v>5</v>
      </c>
      <c r="R15" s="13">
        <f t="shared" si="9"/>
        <v>0.8</v>
      </c>
    </row>
    <row r="16" spans="1:18" x14ac:dyDescent="0.3">
      <c r="A16" s="5">
        <f t="shared" si="0"/>
        <v>6</v>
      </c>
      <c r="B16" s="6" t="s">
        <v>143</v>
      </c>
      <c r="C16" s="6" t="s">
        <v>140</v>
      </c>
      <c r="D16" s="6" t="s">
        <v>48</v>
      </c>
      <c r="E16" s="6">
        <v>15</v>
      </c>
      <c r="F16" s="7">
        <f t="shared" si="1"/>
        <v>80</v>
      </c>
      <c r="G16" s="6">
        <v>3</v>
      </c>
      <c r="H16" s="7">
        <f t="shared" si="2"/>
        <v>162.5</v>
      </c>
      <c r="I16" s="6">
        <v>17</v>
      </c>
      <c r="J16" s="7">
        <f t="shared" si="3"/>
        <v>58.333333333333336</v>
      </c>
      <c r="K16" s="6">
        <v>10</v>
      </c>
      <c r="L16" s="7">
        <f t="shared" si="4"/>
        <v>109.09090909090909</v>
      </c>
      <c r="M16" s="6">
        <v>11</v>
      </c>
      <c r="N16" s="7">
        <f t="shared" si="5"/>
        <v>121.42857142857143</v>
      </c>
      <c r="O16" s="8">
        <f t="shared" si="6"/>
        <v>531.35281385281382</v>
      </c>
      <c r="P16" s="6">
        <f t="shared" si="7"/>
        <v>5</v>
      </c>
      <c r="Q16" s="6">
        <f t="shared" si="8"/>
        <v>6</v>
      </c>
      <c r="R16" s="13">
        <f t="shared" si="9"/>
        <v>1</v>
      </c>
    </row>
    <row r="17" spans="1:18" x14ac:dyDescent="0.3">
      <c r="A17" s="5">
        <f t="shared" si="0"/>
        <v>7</v>
      </c>
      <c r="B17" s="6" t="s">
        <v>292</v>
      </c>
      <c r="C17" s="6" t="s">
        <v>139</v>
      </c>
      <c r="D17" s="6" t="s">
        <v>48</v>
      </c>
      <c r="E17" s="6">
        <v>7</v>
      </c>
      <c r="F17" s="7">
        <f t="shared" si="1"/>
        <v>144</v>
      </c>
      <c r="G17" s="6">
        <v>3</v>
      </c>
      <c r="H17" s="7">
        <f t="shared" si="2"/>
        <v>162.5</v>
      </c>
      <c r="I17" s="6"/>
      <c r="J17" s="7">
        <f t="shared" si="3"/>
        <v>0</v>
      </c>
      <c r="K17" s="6">
        <v>13</v>
      </c>
      <c r="L17" s="7">
        <f t="shared" si="4"/>
        <v>81.818181818181813</v>
      </c>
      <c r="M17" s="6">
        <v>13</v>
      </c>
      <c r="N17" s="7">
        <f t="shared" si="5"/>
        <v>107.14285714285714</v>
      </c>
      <c r="O17" s="8">
        <f t="shared" si="6"/>
        <v>495.46103896103898</v>
      </c>
      <c r="P17" s="6">
        <f t="shared" si="7"/>
        <v>4</v>
      </c>
      <c r="Q17" s="6">
        <f t="shared" si="8"/>
        <v>7</v>
      </c>
      <c r="R17" s="13">
        <f t="shared" si="9"/>
        <v>0.8</v>
      </c>
    </row>
    <row r="18" spans="1:18" x14ac:dyDescent="0.3">
      <c r="A18" s="5">
        <f t="shared" si="0"/>
        <v>8</v>
      </c>
      <c r="B18" s="6" t="s">
        <v>162</v>
      </c>
      <c r="C18" s="6" t="s">
        <v>163</v>
      </c>
      <c r="D18" s="6" t="s">
        <v>89</v>
      </c>
      <c r="E18" s="6">
        <v>5</v>
      </c>
      <c r="F18" s="7">
        <f t="shared" si="1"/>
        <v>160</v>
      </c>
      <c r="G18" s="6"/>
      <c r="H18" s="7">
        <f t="shared" si="2"/>
        <v>0</v>
      </c>
      <c r="I18" s="6"/>
      <c r="J18" s="7">
        <f t="shared" si="3"/>
        <v>0</v>
      </c>
      <c r="K18" s="6">
        <v>6</v>
      </c>
      <c r="L18" s="7">
        <f t="shared" si="4"/>
        <v>145.45454545454547</v>
      </c>
      <c r="M18" s="6">
        <v>6</v>
      </c>
      <c r="N18" s="7">
        <f t="shared" si="5"/>
        <v>157.14285714285714</v>
      </c>
      <c r="O18" s="8">
        <f t="shared" si="6"/>
        <v>462.59740259740261</v>
      </c>
      <c r="P18" s="6">
        <f t="shared" si="7"/>
        <v>3</v>
      </c>
      <c r="Q18" s="6">
        <f t="shared" si="8"/>
        <v>8</v>
      </c>
      <c r="R18" s="13">
        <f t="shared" si="9"/>
        <v>0.6</v>
      </c>
    </row>
    <row r="19" spans="1:18" x14ac:dyDescent="0.3">
      <c r="A19" s="5">
        <f t="shared" si="0"/>
        <v>9</v>
      </c>
      <c r="B19" s="6" t="s">
        <v>135</v>
      </c>
      <c r="C19" s="6" t="s">
        <v>124</v>
      </c>
      <c r="D19" s="6" t="s">
        <v>48</v>
      </c>
      <c r="E19" s="6">
        <v>8</v>
      </c>
      <c r="F19" s="7">
        <f t="shared" si="1"/>
        <v>136</v>
      </c>
      <c r="G19" s="6">
        <v>2</v>
      </c>
      <c r="H19" s="7">
        <f t="shared" si="2"/>
        <v>175</v>
      </c>
      <c r="I19" s="6"/>
      <c r="J19" s="7">
        <f t="shared" si="3"/>
        <v>0</v>
      </c>
      <c r="K19" s="6"/>
      <c r="L19" s="7">
        <f t="shared" si="4"/>
        <v>0</v>
      </c>
      <c r="M19" s="6">
        <v>7</v>
      </c>
      <c r="N19" s="7">
        <f t="shared" si="5"/>
        <v>150</v>
      </c>
      <c r="O19" s="8">
        <f t="shared" si="6"/>
        <v>461</v>
      </c>
      <c r="P19" s="6">
        <f t="shared" si="7"/>
        <v>3</v>
      </c>
      <c r="Q19" s="6">
        <f t="shared" si="8"/>
        <v>9</v>
      </c>
      <c r="R19" s="13">
        <f t="shared" si="9"/>
        <v>0.6</v>
      </c>
    </row>
    <row r="20" spans="1:18" x14ac:dyDescent="0.3">
      <c r="A20" s="5">
        <f t="shared" si="0"/>
        <v>10</v>
      </c>
      <c r="B20" s="6" t="s">
        <v>108</v>
      </c>
      <c r="C20" s="6" t="s">
        <v>430</v>
      </c>
      <c r="D20" s="6" t="s">
        <v>65</v>
      </c>
      <c r="E20" s="6"/>
      <c r="F20" s="7">
        <f t="shared" si="1"/>
        <v>0</v>
      </c>
      <c r="G20" s="6"/>
      <c r="H20" s="7">
        <f t="shared" si="2"/>
        <v>0</v>
      </c>
      <c r="I20" s="6">
        <v>4</v>
      </c>
      <c r="J20" s="7">
        <f t="shared" si="3"/>
        <v>166.66666666666666</v>
      </c>
      <c r="K20" s="6">
        <v>9</v>
      </c>
      <c r="L20" s="7">
        <f t="shared" si="4"/>
        <v>118.18181818181819</v>
      </c>
      <c r="M20" s="6">
        <v>8</v>
      </c>
      <c r="N20" s="7">
        <f t="shared" si="5"/>
        <v>142.85714285714286</v>
      </c>
      <c r="O20" s="8">
        <f t="shared" si="6"/>
        <v>427.70562770562776</v>
      </c>
      <c r="P20" s="6">
        <f t="shared" si="7"/>
        <v>3</v>
      </c>
      <c r="Q20" s="6">
        <f t="shared" si="8"/>
        <v>10</v>
      </c>
      <c r="R20" s="13">
        <f t="shared" si="9"/>
        <v>0.6</v>
      </c>
    </row>
    <row r="21" spans="1:18" x14ac:dyDescent="0.3">
      <c r="A21" s="5">
        <f t="shared" si="0"/>
        <v>11</v>
      </c>
      <c r="B21" s="6" t="s">
        <v>123</v>
      </c>
      <c r="C21" s="6" t="s">
        <v>124</v>
      </c>
      <c r="D21" s="6" t="s">
        <v>48</v>
      </c>
      <c r="E21" s="6">
        <v>1</v>
      </c>
      <c r="F21" s="7">
        <f t="shared" si="1"/>
        <v>192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>
        <v>5</v>
      </c>
      <c r="N21" s="7">
        <f t="shared" si="5"/>
        <v>164.28571428571428</v>
      </c>
      <c r="O21" s="8">
        <f t="shared" si="6"/>
        <v>356.28571428571428</v>
      </c>
      <c r="P21" s="6">
        <f t="shared" si="7"/>
        <v>2</v>
      </c>
      <c r="Q21" s="6">
        <f t="shared" si="8"/>
        <v>11</v>
      </c>
      <c r="R21" s="13">
        <f t="shared" si="9"/>
        <v>0.4</v>
      </c>
    </row>
    <row r="22" spans="1:18" x14ac:dyDescent="0.3">
      <c r="A22" s="5">
        <f t="shared" si="0"/>
        <v>12</v>
      </c>
      <c r="B22" s="6" t="s">
        <v>162</v>
      </c>
      <c r="C22" s="6" t="s">
        <v>164</v>
      </c>
      <c r="D22" s="6" t="s">
        <v>89</v>
      </c>
      <c r="E22" s="6">
        <v>17</v>
      </c>
      <c r="F22" s="7">
        <f t="shared" si="1"/>
        <v>64</v>
      </c>
      <c r="G22" s="6"/>
      <c r="H22" s="7">
        <f t="shared" si="2"/>
        <v>0</v>
      </c>
      <c r="I22" s="6"/>
      <c r="J22" s="7">
        <f t="shared" si="3"/>
        <v>0</v>
      </c>
      <c r="K22" s="6">
        <v>7</v>
      </c>
      <c r="L22" s="7">
        <f t="shared" si="4"/>
        <v>136.36363636363637</v>
      </c>
      <c r="M22" s="6">
        <v>9</v>
      </c>
      <c r="N22" s="7">
        <f t="shared" si="5"/>
        <v>135.71428571428572</v>
      </c>
      <c r="O22" s="8">
        <f t="shared" si="6"/>
        <v>336.0779220779221</v>
      </c>
      <c r="P22" s="6">
        <f t="shared" si="7"/>
        <v>3</v>
      </c>
      <c r="Q22" s="6">
        <f t="shared" si="8"/>
        <v>12</v>
      </c>
      <c r="R22" s="13">
        <f t="shared" si="9"/>
        <v>0.6</v>
      </c>
    </row>
    <row r="23" spans="1:18" x14ac:dyDescent="0.3">
      <c r="A23" s="5">
        <f t="shared" si="0"/>
        <v>13</v>
      </c>
      <c r="B23" s="6" t="s">
        <v>151</v>
      </c>
      <c r="C23" s="6" t="s">
        <v>126</v>
      </c>
      <c r="D23" s="6" t="s">
        <v>48</v>
      </c>
      <c r="E23" s="6">
        <v>14</v>
      </c>
      <c r="F23" s="7">
        <f t="shared" si="1"/>
        <v>88</v>
      </c>
      <c r="G23" s="6"/>
      <c r="H23" s="7">
        <f t="shared" si="2"/>
        <v>0</v>
      </c>
      <c r="I23" s="6"/>
      <c r="J23" s="7">
        <f t="shared" si="3"/>
        <v>0</v>
      </c>
      <c r="K23" s="6">
        <v>15</v>
      </c>
      <c r="L23" s="7">
        <f t="shared" si="4"/>
        <v>63.636363636363633</v>
      </c>
      <c r="M23" s="6">
        <v>10</v>
      </c>
      <c r="N23" s="7">
        <f t="shared" si="5"/>
        <v>128.57142857142858</v>
      </c>
      <c r="O23" s="8">
        <f t="shared" si="6"/>
        <v>280.20779220779218</v>
      </c>
      <c r="P23" s="6">
        <f t="shared" si="7"/>
        <v>3</v>
      </c>
      <c r="Q23" s="6">
        <f t="shared" si="8"/>
        <v>13</v>
      </c>
      <c r="R23" s="13">
        <f t="shared" si="9"/>
        <v>0.6</v>
      </c>
    </row>
    <row r="24" spans="1:18" x14ac:dyDescent="0.3">
      <c r="A24" s="5">
        <f t="shared" si="0"/>
        <v>14</v>
      </c>
      <c r="B24" s="6" t="s">
        <v>370</v>
      </c>
      <c r="C24" s="6" t="s">
        <v>371</v>
      </c>
      <c r="D24" s="6" t="s">
        <v>49</v>
      </c>
      <c r="E24" s="6"/>
      <c r="F24" s="7">
        <f t="shared" si="1"/>
        <v>0</v>
      </c>
      <c r="G24" s="6">
        <v>10</v>
      </c>
      <c r="H24" s="7">
        <f t="shared" si="2"/>
        <v>75</v>
      </c>
      <c r="I24" s="6"/>
      <c r="J24" s="7">
        <f t="shared" si="3"/>
        <v>0</v>
      </c>
      <c r="K24" s="6">
        <v>3</v>
      </c>
      <c r="L24" s="7">
        <f t="shared" si="4"/>
        <v>172.72727272727272</v>
      </c>
      <c r="M24" s="6"/>
      <c r="N24" s="7">
        <f t="shared" si="5"/>
        <v>0</v>
      </c>
      <c r="O24" s="8">
        <f t="shared" si="6"/>
        <v>247.72727272727272</v>
      </c>
      <c r="P24" s="6">
        <f t="shared" si="7"/>
        <v>2</v>
      </c>
      <c r="Q24" s="6">
        <f t="shared" si="8"/>
        <v>14</v>
      </c>
      <c r="R24" s="13">
        <f t="shared" si="9"/>
        <v>0.4</v>
      </c>
    </row>
    <row r="25" spans="1:18" x14ac:dyDescent="0.3">
      <c r="A25" s="5">
        <f t="shared" si="0"/>
        <v>15</v>
      </c>
      <c r="B25" s="6" t="s">
        <v>219</v>
      </c>
      <c r="C25" s="6" t="s">
        <v>220</v>
      </c>
      <c r="D25" s="6" t="s">
        <v>72</v>
      </c>
      <c r="E25" s="6">
        <v>11</v>
      </c>
      <c r="F25" s="7">
        <f t="shared" si="1"/>
        <v>112</v>
      </c>
      <c r="G25" s="6"/>
      <c r="H25" s="7">
        <f t="shared" si="2"/>
        <v>0</v>
      </c>
      <c r="I25" s="6"/>
      <c r="J25" s="7">
        <f t="shared" si="3"/>
        <v>0</v>
      </c>
      <c r="K25" s="6">
        <v>8</v>
      </c>
      <c r="L25" s="7">
        <f t="shared" si="4"/>
        <v>127.27272727272727</v>
      </c>
      <c r="M25" s="6"/>
      <c r="N25" s="7">
        <f t="shared" si="5"/>
        <v>0</v>
      </c>
      <c r="O25" s="8">
        <f t="shared" si="6"/>
        <v>239.27272727272725</v>
      </c>
      <c r="P25" s="6">
        <f t="shared" si="7"/>
        <v>2</v>
      </c>
      <c r="Q25" s="6">
        <f t="shared" si="8"/>
        <v>15</v>
      </c>
      <c r="R25" s="13">
        <f t="shared" si="9"/>
        <v>0.4</v>
      </c>
    </row>
    <row r="26" spans="1:18" x14ac:dyDescent="0.3">
      <c r="A26" s="5">
        <f t="shared" si="0"/>
        <v>16</v>
      </c>
      <c r="B26" s="6" t="s">
        <v>202</v>
      </c>
      <c r="C26" s="6" t="s">
        <v>203</v>
      </c>
      <c r="D26" s="6" t="s">
        <v>189</v>
      </c>
      <c r="E26" s="6">
        <v>12</v>
      </c>
      <c r="F26" s="7">
        <f t="shared" si="1"/>
        <v>104</v>
      </c>
      <c r="G26" s="6">
        <v>13</v>
      </c>
      <c r="H26" s="7">
        <f t="shared" si="2"/>
        <v>37.5</v>
      </c>
      <c r="I26" s="6"/>
      <c r="J26" s="7">
        <f t="shared" si="3"/>
        <v>0</v>
      </c>
      <c r="K26" s="6"/>
      <c r="L26" s="7">
        <f t="shared" si="4"/>
        <v>0</v>
      </c>
      <c r="M26" s="6">
        <v>15</v>
      </c>
      <c r="N26" s="7">
        <f t="shared" si="5"/>
        <v>92.857142857142861</v>
      </c>
      <c r="O26" s="8">
        <f t="shared" si="6"/>
        <v>234.35714285714286</v>
      </c>
      <c r="P26" s="6">
        <f t="shared" si="7"/>
        <v>3</v>
      </c>
      <c r="Q26" s="6">
        <f t="shared" si="8"/>
        <v>16</v>
      </c>
      <c r="R26" s="13">
        <f t="shared" si="9"/>
        <v>0.6</v>
      </c>
    </row>
    <row r="27" spans="1:18" x14ac:dyDescent="0.3">
      <c r="A27" s="5">
        <f t="shared" si="0"/>
        <v>17</v>
      </c>
      <c r="B27" s="6" t="s">
        <v>301</v>
      </c>
      <c r="C27" s="15" t="s">
        <v>64</v>
      </c>
      <c r="D27" s="6" t="s">
        <v>89</v>
      </c>
      <c r="E27" s="6">
        <v>20</v>
      </c>
      <c r="F27" s="7">
        <f t="shared" si="1"/>
        <v>40</v>
      </c>
      <c r="G27" s="6"/>
      <c r="H27" s="7">
        <f t="shared" si="2"/>
        <v>0</v>
      </c>
      <c r="I27" s="6"/>
      <c r="J27" s="7">
        <f t="shared" si="3"/>
        <v>0</v>
      </c>
      <c r="K27" s="6">
        <v>14</v>
      </c>
      <c r="L27" s="7">
        <f t="shared" si="4"/>
        <v>72.727272727272734</v>
      </c>
      <c r="M27" s="6">
        <v>16</v>
      </c>
      <c r="N27" s="7">
        <f t="shared" si="5"/>
        <v>85.714285714285708</v>
      </c>
      <c r="O27" s="8">
        <f t="shared" si="6"/>
        <v>198.44155844155844</v>
      </c>
      <c r="P27" s="6">
        <f t="shared" si="7"/>
        <v>3</v>
      </c>
      <c r="Q27" s="6">
        <f t="shared" si="8"/>
        <v>17</v>
      </c>
      <c r="R27" s="13">
        <f t="shared" si="9"/>
        <v>0.6</v>
      </c>
    </row>
    <row r="28" spans="1:18" x14ac:dyDescent="0.3">
      <c r="A28" s="5">
        <f t="shared" si="0"/>
        <v>18</v>
      </c>
      <c r="B28" s="6" t="s">
        <v>294</v>
      </c>
      <c r="C28" s="6" t="s">
        <v>295</v>
      </c>
      <c r="D28" s="6" t="s">
        <v>89</v>
      </c>
      <c r="E28" s="6">
        <v>13</v>
      </c>
      <c r="F28" s="7">
        <f t="shared" si="1"/>
        <v>96</v>
      </c>
      <c r="G28" s="6"/>
      <c r="H28" s="7">
        <f t="shared" si="2"/>
        <v>0</v>
      </c>
      <c r="I28" s="6"/>
      <c r="J28" s="7">
        <f t="shared" si="3"/>
        <v>0</v>
      </c>
      <c r="K28" s="6">
        <v>18</v>
      </c>
      <c r="L28" s="7">
        <f t="shared" si="4"/>
        <v>36.363636363636367</v>
      </c>
      <c r="M28" s="6">
        <v>20</v>
      </c>
      <c r="N28" s="7">
        <f t="shared" si="5"/>
        <v>57.142857142857146</v>
      </c>
      <c r="O28" s="8">
        <f t="shared" si="6"/>
        <v>189.50649350649351</v>
      </c>
      <c r="P28" s="6">
        <f t="shared" si="7"/>
        <v>3</v>
      </c>
      <c r="Q28" s="6">
        <f t="shared" si="8"/>
        <v>18</v>
      </c>
      <c r="R28" s="13">
        <f t="shared" si="9"/>
        <v>0.6</v>
      </c>
    </row>
    <row r="29" spans="1:18" x14ac:dyDescent="0.3">
      <c r="A29" s="5">
        <f t="shared" si="0"/>
        <v>19</v>
      </c>
      <c r="B29" s="6" t="s">
        <v>141</v>
      </c>
      <c r="C29" s="6" t="s">
        <v>142</v>
      </c>
      <c r="D29" s="6" t="s">
        <v>48</v>
      </c>
      <c r="E29" s="6">
        <v>21</v>
      </c>
      <c r="F29" s="7">
        <f t="shared" si="1"/>
        <v>32</v>
      </c>
      <c r="G29" s="6">
        <v>6</v>
      </c>
      <c r="H29" s="7">
        <f t="shared" si="2"/>
        <v>125</v>
      </c>
      <c r="I29" s="6"/>
      <c r="J29" s="7">
        <f t="shared" si="3"/>
        <v>0</v>
      </c>
      <c r="K29" s="6"/>
      <c r="L29" s="7">
        <f t="shared" si="4"/>
        <v>0</v>
      </c>
      <c r="M29" s="6">
        <v>26</v>
      </c>
      <c r="N29" s="7">
        <f t="shared" si="5"/>
        <v>14.285714285714286</v>
      </c>
      <c r="O29" s="8">
        <f t="shared" si="6"/>
        <v>171.28571428571428</v>
      </c>
      <c r="P29" s="6">
        <f t="shared" si="7"/>
        <v>3</v>
      </c>
      <c r="Q29" s="6">
        <f t="shared" si="8"/>
        <v>19</v>
      </c>
      <c r="R29" s="13">
        <f t="shared" si="9"/>
        <v>0.6</v>
      </c>
    </row>
    <row r="30" spans="1:18" x14ac:dyDescent="0.3">
      <c r="A30" s="5">
        <f t="shared" si="0"/>
        <v>20</v>
      </c>
      <c r="B30" s="6" t="s">
        <v>293</v>
      </c>
      <c r="C30" s="6" t="s">
        <v>225</v>
      </c>
      <c r="D30" s="6" t="s">
        <v>48</v>
      </c>
      <c r="E30" s="6">
        <v>9</v>
      </c>
      <c r="F30" s="7">
        <f t="shared" si="1"/>
        <v>128</v>
      </c>
      <c r="G30" s="6"/>
      <c r="H30" s="7">
        <f t="shared" si="2"/>
        <v>0</v>
      </c>
      <c r="I30" s="6"/>
      <c r="J30" s="7">
        <f t="shared" si="3"/>
        <v>0</v>
      </c>
      <c r="K30" s="6">
        <v>22</v>
      </c>
      <c r="L30" s="7">
        <f>9/2</f>
        <v>4.5</v>
      </c>
      <c r="M30" s="6">
        <v>24</v>
      </c>
      <c r="N30" s="7">
        <f t="shared" si="5"/>
        <v>28.571428571428573</v>
      </c>
      <c r="O30" s="8">
        <f t="shared" si="6"/>
        <v>161.07142857142858</v>
      </c>
      <c r="P30" s="6">
        <f t="shared" si="7"/>
        <v>3</v>
      </c>
      <c r="Q30" s="6">
        <f t="shared" si="8"/>
        <v>20</v>
      </c>
      <c r="R30" s="13">
        <f t="shared" si="9"/>
        <v>0.6</v>
      </c>
    </row>
    <row r="31" spans="1:18" x14ac:dyDescent="0.3">
      <c r="A31" s="5">
        <f t="shared" si="0"/>
        <v>21</v>
      </c>
      <c r="B31" s="6" t="s">
        <v>204</v>
      </c>
      <c r="C31" s="6" t="s">
        <v>192</v>
      </c>
      <c r="D31" s="6" t="s">
        <v>129</v>
      </c>
      <c r="E31" s="6">
        <v>24</v>
      </c>
      <c r="F31" s="7">
        <f t="shared" si="1"/>
        <v>8</v>
      </c>
      <c r="G31" s="6">
        <v>11</v>
      </c>
      <c r="H31" s="7">
        <f t="shared" si="2"/>
        <v>62.5</v>
      </c>
      <c r="I31" s="6"/>
      <c r="J31" s="7">
        <f t="shared" si="3"/>
        <v>0</v>
      </c>
      <c r="K31" s="6"/>
      <c r="L31" s="7">
        <f t="shared" ref="L31:L46" si="10">IF(K31=0,,($K$9-K31)*$K$7*100/$K$9)</f>
        <v>0</v>
      </c>
      <c r="M31" s="6">
        <v>19</v>
      </c>
      <c r="N31" s="7">
        <f t="shared" si="5"/>
        <v>64.285714285714292</v>
      </c>
      <c r="O31" s="8">
        <f t="shared" si="6"/>
        <v>134.78571428571428</v>
      </c>
      <c r="P31" s="6">
        <f t="shared" si="7"/>
        <v>3</v>
      </c>
      <c r="Q31" s="6">
        <f t="shared" si="8"/>
        <v>21</v>
      </c>
      <c r="R31" s="13">
        <f t="shared" si="9"/>
        <v>0.6</v>
      </c>
    </row>
    <row r="32" spans="1:18" x14ac:dyDescent="0.3">
      <c r="A32" s="5">
        <f t="shared" si="0"/>
        <v>22</v>
      </c>
      <c r="B32" s="6" t="s">
        <v>368</v>
      </c>
      <c r="C32" s="6" t="s">
        <v>369</v>
      </c>
      <c r="D32" s="6" t="s">
        <v>72</v>
      </c>
      <c r="E32" s="6"/>
      <c r="F32" s="7">
        <f t="shared" si="1"/>
        <v>0</v>
      </c>
      <c r="G32" s="6">
        <v>9</v>
      </c>
      <c r="H32" s="7">
        <f t="shared" si="2"/>
        <v>87.5</v>
      </c>
      <c r="I32" s="6"/>
      <c r="J32" s="7">
        <f t="shared" si="3"/>
        <v>0</v>
      </c>
      <c r="K32" s="6">
        <v>17</v>
      </c>
      <c r="L32" s="7">
        <f t="shared" si="10"/>
        <v>45.454545454545453</v>
      </c>
      <c r="M32" s="6"/>
      <c r="N32" s="7">
        <f t="shared" si="5"/>
        <v>0</v>
      </c>
      <c r="O32" s="8">
        <f t="shared" si="6"/>
        <v>132.95454545454544</v>
      </c>
      <c r="P32" s="6">
        <f t="shared" si="7"/>
        <v>2</v>
      </c>
      <c r="Q32" s="6">
        <f t="shared" si="8"/>
        <v>22</v>
      </c>
      <c r="R32" s="13">
        <f t="shared" si="9"/>
        <v>0.4</v>
      </c>
    </row>
    <row r="33" spans="1:18" x14ac:dyDescent="0.3">
      <c r="A33" s="5">
        <f t="shared" si="0"/>
        <v>23</v>
      </c>
      <c r="B33" s="6" t="s">
        <v>505</v>
      </c>
      <c r="C33" s="6" t="s">
        <v>506</v>
      </c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>
        <v>16</v>
      </c>
      <c r="L33" s="7">
        <f t="shared" si="10"/>
        <v>54.545454545454547</v>
      </c>
      <c r="M33" s="6">
        <v>18</v>
      </c>
      <c r="N33" s="7">
        <f t="shared" si="5"/>
        <v>71.428571428571431</v>
      </c>
      <c r="O33" s="8">
        <f t="shared" si="6"/>
        <v>125.97402597402598</v>
      </c>
      <c r="P33" s="6">
        <f t="shared" si="7"/>
        <v>2</v>
      </c>
      <c r="Q33" s="6">
        <f t="shared" si="8"/>
        <v>23</v>
      </c>
      <c r="R33" s="13">
        <f t="shared" si="9"/>
        <v>0.4</v>
      </c>
    </row>
    <row r="34" spans="1:18" x14ac:dyDescent="0.3">
      <c r="A34" s="6">
        <f t="shared" si="0"/>
        <v>24</v>
      </c>
      <c r="B34" s="6" t="s">
        <v>296</v>
      </c>
      <c r="C34" s="6" t="s">
        <v>297</v>
      </c>
      <c r="D34" s="6" t="s">
        <v>65</v>
      </c>
      <c r="E34" s="6">
        <v>15</v>
      </c>
      <c r="F34" s="7">
        <f t="shared" si="1"/>
        <v>80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0"/>
        <v>0</v>
      </c>
      <c r="M34" s="6">
        <v>22</v>
      </c>
      <c r="N34" s="7">
        <f t="shared" si="5"/>
        <v>42.857142857142854</v>
      </c>
      <c r="O34" s="8">
        <f t="shared" si="6"/>
        <v>122.85714285714286</v>
      </c>
      <c r="P34" s="6">
        <f t="shared" si="7"/>
        <v>2</v>
      </c>
      <c r="Q34" s="6">
        <f t="shared" si="8"/>
        <v>24</v>
      </c>
      <c r="R34" s="13">
        <f t="shared" si="9"/>
        <v>0.4</v>
      </c>
    </row>
    <row r="35" spans="1:18" x14ac:dyDescent="0.3">
      <c r="A35" s="5">
        <f t="shared" si="0"/>
        <v>25</v>
      </c>
      <c r="B35" s="6" t="s">
        <v>215</v>
      </c>
      <c r="C35" s="6" t="s">
        <v>181</v>
      </c>
      <c r="D35" s="6" t="s">
        <v>129</v>
      </c>
      <c r="E35" s="6">
        <v>25</v>
      </c>
      <c r="F35" s="7">
        <f>8/2</f>
        <v>4</v>
      </c>
      <c r="G35" s="6">
        <v>11</v>
      </c>
      <c r="H35" s="7">
        <f t="shared" si="2"/>
        <v>62.5</v>
      </c>
      <c r="I35" s="6"/>
      <c r="J35" s="7">
        <f t="shared" si="3"/>
        <v>0</v>
      </c>
      <c r="K35" s="6"/>
      <c r="L35" s="7">
        <f t="shared" si="10"/>
        <v>0</v>
      </c>
      <c r="M35" s="6">
        <v>21</v>
      </c>
      <c r="N35" s="7">
        <f t="shared" si="5"/>
        <v>50</v>
      </c>
      <c r="O35" s="8">
        <f t="shared" si="6"/>
        <v>116.5</v>
      </c>
      <c r="P35" s="6">
        <f t="shared" si="7"/>
        <v>3</v>
      </c>
      <c r="Q35" s="6">
        <f t="shared" si="8"/>
        <v>25</v>
      </c>
      <c r="R35" s="13">
        <f t="shared" si="9"/>
        <v>0.6</v>
      </c>
    </row>
    <row r="36" spans="1:18" x14ac:dyDescent="0.3">
      <c r="A36" s="5">
        <f t="shared" si="0"/>
        <v>26</v>
      </c>
      <c r="B36" s="6" t="s">
        <v>600</v>
      </c>
      <c r="C36" s="6" t="s">
        <v>180</v>
      </c>
      <c r="D36" s="6" t="s">
        <v>598</v>
      </c>
      <c r="E36" s="6"/>
      <c r="F36" s="7">
        <f t="shared" ref="F36:F46" si="11">IF(E36=0,,($E$9-E36)*$E$7*100/$E$9)</f>
        <v>0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10"/>
        <v>0</v>
      </c>
      <c r="M36" s="6">
        <v>12</v>
      </c>
      <c r="N36" s="7">
        <f t="shared" si="5"/>
        <v>114.28571428571429</v>
      </c>
      <c r="O36" s="8">
        <f t="shared" si="6"/>
        <v>114.28571428571429</v>
      </c>
      <c r="P36" s="6">
        <f t="shared" si="7"/>
        <v>1</v>
      </c>
      <c r="Q36" s="6">
        <f t="shared" si="8"/>
        <v>26</v>
      </c>
      <c r="R36" s="13">
        <f t="shared" si="9"/>
        <v>0.2</v>
      </c>
    </row>
    <row r="37" spans="1:18" x14ac:dyDescent="0.3">
      <c r="A37" s="5">
        <f t="shared" si="0"/>
        <v>27</v>
      </c>
      <c r="B37" s="6" t="s">
        <v>503</v>
      </c>
      <c r="C37" s="6" t="s">
        <v>504</v>
      </c>
      <c r="D37" s="6"/>
      <c r="E37" s="6"/>
      <c r="F37" s="7">
        <f t="shared" si="11"/>
        <v>0</v>
      </c>
      <c r="G37" s="6"/>
      <c r="H37" s="7">
        <f t="shared" si="2"/>
        <v>0</v>
      </c>
      <c r="I37" s="6"/>
      <c r="J37" s="7">
        <f t="shared" si="3"/>
        <v>0</v>
      </c>
      <c r="K37" s="6">
        <v>11</v>
      </c>
      <c r="L37" s="7">
        <f t="shared" si="10"/>
        <v>100</v>
      </c>
      <c r="M37" s="6"/>
      <c r="N37" s="7">
        <f t="shared" si="5"/>
        <v>0</v>
      </c>
      <c r="O37" s="8">
        <f t="shared" si="6"/>
        <v>100</v>
      </c>
      <c r="P37" s="6">
        <f t="shared" si="7"/>
        <v>1</v>
      </c>
      <c r="Q37" s="6">
        <f t="shared" si="8"/>
        <v>27</v>
      </c>
      <c r="R37" s="13">
        <f t="shared" si="9"/>
        <v>0.2</v>
      </c>
    </row>
    <row r="38" spans="1:18" x14ac:dyDescent="0.3">
      <c r="A38" s="5">
        <f t="shared" si="0"/>
        <v>28</v>
      </c>
      <c r="B38" s="6" t="s">
        <v>599</v>
      </c>
      <c r="C38" s="6" t="s">
        <v>181</v>
      </c>
      <c r="D38" s="6" t="s">
        <v>598</v>
      </c>
      <c r="E38" s="6"/>
      <c r="F38" s="7">
        <f t="shared" si="11"/>
        <v>0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10"/>
        <v>0</v>
      </c>
      <c r="M38" s="6">
        <v>14</v>
      </c>
      <c r="N38" s="7">
        <f t="shared" si="5"/>
        <v>100</v>
      </c>
      <c r="O38" s="8">
        <f t="shared" si="6"/>
        <v>100</v>
      </c>
      <c r="P38" s="6">
        <f t="shared" si="7"/>
        <v>1</v>
      </c>
      <c r="Q38" s="6">
        <f t="shared" si="8"/>
        <v>28</v>
      </c>
      <c r="R38" s="13">
        <f t="shared" si="9"/>
        <v>0.2</v>
      </c>
    </row>
    <row r="39" spans="1:18" x14ac:dyDescent="0.3">
      <c r="A39" s="5">
        <f t="shared" si="0"/>
        <v>29</v>
      </c>
      <c r="B39" s="6" t="s">
        <v>133</v>
      </c>
      <c r="C39" s="6" t="s">
        <v>134</v>
      </c>
      <c r="D39" s="6" t="s">
        <v>252</v>
      </c>
      <c r="E39" s="6">
        <v>22</v>
      </c>
      <c r="F39" s="7">
        <f t="shared" si="11"/>
        <v>24</v>
      </c>
      <c r="G39" s="6">
        <v>14</v>
      </c>
      <c r="H39" s="7">
        <f t="shared" si="2"/>
        <v>25</v>
      </c>
      <c r="I39" s="6"/>
      <c r="J39" s="7">
        <f t="shared" si="3"/>
        <v>0</v>
      </c>
      <c r="K39" s="6">
        <v>21</v>
      </c>
      <c r="L39" s="7">
        <f t="shared" si="10"/>
        <v>9.0909090909090917</v>
      </c>
      <c r="M39" s="6">
        <v>27</v>
      </c>
      <c r="N39" s="7">
        <f t="shared" si="5"/>
        <v>7.1428571428571432</v>
      </c>
      <c r="O39" s="8">
        <f t="shared" si="6"/>
        <v>65.233766233766232</v>
      </c>
      <c r="P39" s="6">
        <f t="shared" si="7"/>
        <v>4</v>
      </c>
      <c r="Q39" s="6">
        <f t="shared" si="8"/>
        <v>29</v>
      </c>
      <c r="R39" s="13">
        <f t="shared" si="9"/>
        <v>0.8</v>
      </c>
    </row>
    <row r="40" spans="1:18" x14ac:dyDescent="0.3">
      <c r="A40" s="6">
        <f t="shared" si="0"/>
        <v>30</v>
      </c>
      <c r="B40" s="6" t="s">
        <v>299</v>
      </c>
      <c r="C40" s="6" t="s">
        <v>300</v>
      </c>
      <c r="D40" s="6" t="s">
        <v>48</v>
      </c>
      <c r="E40" s="6">
        <v>19</v>
      </c>
      <c r="F40" s="7">
        <f t="shared" si="11"/>
        <v>48</v>
      </c>
      <c r="G40" s="6">
        <v>15</v>
      </c>
      <c r="H40" s="7">
        <f t="shared" si="2"/>
        <v>12.5</v>
      </c>
      <c r="I40" s="6"/>
      <c r="J40" s="7">
        <f t="shared" si="3"/>
        <v>0</v>
      </c>
      <c r="K40" s="6"/>
      <c r="L40" s="7">
        <f t="shared" si="10"/>
        <v>0</v>
      </c>
      <c r="M40" s="6">
        <v>28</v>
      </c>
      <c r="N40" s="7">
        <v>3</v>
      </c>
      <c r="O40" s="8">
        <f t="shared" si="6"/>
        <v>63.5</v>
      </c>
      <c r="P40" s="6">
        <f t="shared" si="7"/>
        <v>3</v>
      </c>
      <c r="Q40" s="6">
        <f t="shared" si="8"/>
        <v>30</v>
      </c>
      <c r="R40" s="13">
        <f t="shared" si="9"/>
        <v>0.6</v>
      </c>
    </row>
    <row r="41" spans="1:18" x14ac:dyDescent="0.3">
      <c r="A41" s="5">
        <f t="shared" si="0"/>
        <v>31</v>
      </c>
      <c r="B41" s="6" t="s">
        <v>298</v>
      </c>
      <c r="C41" s="6" t="s">
        <v>80</v>
      </c>
      <c r="D41" s="6" t="s">
        <v>89</v>
      </c>
      <c r="E41" s="6">
        <v>18</v>
      </c>
      <c r="F41" s="7">
        <f t="shared" si="11"/>
        <v>56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10"/>
        <v>0</v>
      </c>
      <c r="M41" s="6"/>
      <c r="N41" s="7">
        <f t="shared" ref="N41:N46" si="12">IF(M41=0,,($M$9-M41)*$M$7*100/$M$9)</f>
        <v>0</v>
      </c>
      <c r="O41" s="8">
        <f t="shared" si="6"/>
        <v>56</v>
      </c>
      <c r="P41" s="6">
        <f t="shared" si="7"/>
        <v>1</v>
      </c>
      <c r="Q41" s="6">
        <f t="shared" si="8"/>
        <v>31</v>
      </c>
      <c r="R41" s="13">
        <f t="shared" si="9"/>
        <v>0.2</v>
      </c>
    </row>
    <row r="42" spans="1:18" x14ac:dyDescent="0.3">
      <c r="A42" s="5">
        <f t="shared" si="0"/>
        <v>32</v>
      </c>
      <c r="B42" s="6" t="s">
        <v>302</v>
      </c>
      <c r="C42" s="6" t="s">
        <v>303</v>
      </c>
      <c r="D42" s="6" t="s">
        <v>65</v>
      </c>
      <c r="E42" s="6">
        <v>23</v>
      </c>
      <c r="F42" s="7">
        <f t="shared" si="11"/>
        <v>16</v>
      </c>
      <c r="G42" s="6"/>
      <c r="H42" s="7">
        <f t="shared" si="2"/>
        <v>0</v>
      </c>
      <c r="I42" s="6"/>
      <c r="J42" s="7">
        <f t="shared" si="3"/>
        <v>0</v>
      </c>
      <c r="K42" s="6">
        <v>19</v>
      </c>
      <c r="L42" s="7">
        <f t="shared" si="10"/>
        <v>27.272727272727273</v>
      </c>
      <c r="M42" s="6"/>
      <c r="N42" s="7">
        <f t="shared" si="12"/>
        <v>0</v>
      </c>
      <c r="O42" s="8">
        <f t="shared" si="6"/>
        <v>43.272727272727273</v>
      </c>
      <c r="P42" s="6">
        <f t="shared" si="7"/>
        <v>2</v>
      </c>
      <c r="Q42" s="6">
        <f t="shared" si="8"/>
        <v>32</v>
      </c>
      <c r="R42" s="13">
        <f t="shared" si="9"/>
        <v>0.4</v>
      </c>
    </row>
    <row r="43" spans="1:18" x14ac:dyDescent="0.3">
      <c r="A43" s="5">
        <f t="shared" si="0"/>
        <v>33</v>
      </c>
      <c r="B43" s="6" t="s">
        <v>574</v>
      </c>
      <c r="C43" s="6" t="s">
        <v>575</v>
      </c>
      <c r="D43" s="6" t="s">
        <v>252</v>
      </c>
      <c r="E43" s="6"/>
      <c r="F43" s="7">
        <f t="shared" si="11"/>
        <v>0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10"/>
        <v>0</v>
      </c>
      <c r="M43" s="6">
        <v>23</v>
      </c>
      <c r="N43" s="7">
        <f t="shared" si="12"/>
        <v>35.714285714285715</v>
      </c>
      <c r="O43" s="8">
        <f t="shared" si="6"/>
        <v>35.714285714285715</v>
      </c>
      <c r="P43" s="6">
        <f t="shared" si="7"/>
        <v>1</v>
      </c>
      <c r="Q43" s="6">
        <f t="shared" si="8"/>
        <v>33</v>
      </c>
      <c r="R43" s="13">
        <f t="shared" si="9"/>
        <v>0.2</v>
      </c>
    </row>
    <row r="44" spans="1:18" x14ac:dyDescent="0.3">
      <c r="A44" s="5">
        <f t="shared" si="0"/>
        <v>34</v>
      </c>
      <c r="B44" s="6" t="s">
        <v>436</v>
      </c>
      <c r="C44" s="6" t="s">
        <v>502</v>
      </c>
      <c r="D44" s="6"/>
      <c r="E44" s="6"/>
      <c r="F44" s="7">
        <f t="shared" si="11"/>
        <v>0</v>
      </c>
      <c r="G44" s="6"/>
      <c r="H44" s="7">
        <f t="shared" si="2"/>
        <v>0</v>
      </c>
      <c r="I44" s="6"/>
      <c r="J44" s="7">
        <f t="shared" si="3"/>
        <v>0</v>
      </c>
      <c r="K44" s="6">
        <v>19</v>
      </c>
      <c r="L44" s="7">
        <f t="shared" si="10"/>
        <v>27.272727272727273</v>
      </c>
      <c r="M44" s="6"/>
      <c r="N44" s="7">
        <f t="shared" si="12"/>
        <v>0</v>
      </c>
      <c r="O44" s="8">
        <f t="shared" si="6"/>
        <v>27.272727272727273</v>
      </c>
      <c r="P44" s="6">
        <f t="shared" si="7"/>
        <v>1</v>
      </c>
      <c r="Q44" s="6">
        <f t="shared" si="8"/>
        <v>34</v>
      </c>
      <c r="R44" s="13">
        <f t="shared" si="9"/>
        <v>0.2</v>
      </c>
    </row>
    <row r="45" spans="1:18" x14ac:dyDescent="0.3">
      <c r="A45" s="5">
        <f t="shared" si="0"/>
        <v>35</v>
      </c>
      <c r="B45" s="6" t="s">
        <v>576</v>
      </c>
      <c r="C45" s="6" t="s">
        <v>407</v>
      </c>
      <c r="D45" s="6" t="s">
        <v>252</v>
      </c>
      <c r="E45" s="6"/>
      <c r="F45" s="7">
        <f t="shared" si="11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10"/>
        <v>0</v>
      </c>
      <c r="M45" s="6">
        <v>25</v>
      </c>
      <c r="N45" s="7">
        <f t="shared" si="12"/>
        <v>21.428571428571427</v>
      </c>
      <c r="O45" s="8">
        <f t="shared" si="6"/>
        <v>21.428571428571427</v>
      </c>
      <c r="P45" s="6">
        <f t="shared" si="7"/>
        <v>1</v>
      </c>
      <c r="Q45" s="6">
        <f t="shared" si="8"/>
        <v>35</v>
      </c>
      <c r="R45" s="13">
        <f t="shared" si="9"/>
        <v>0.2</v>
      </c>
    </row>
    <row r="46" spans="1:18" x14ac:dyDescent="0.3">
      <c r="A46" s="5">
        <f t="shared" si="0"/>
        <v>36</v>
      </c>
      <c r="B46" s="6" t="s">
        <v>372</v>
      </c>
      <c r="C46" s="6" t="s">
        <v>373</v>
      </c>
      <c r="D46" s="6" t="s">
        <v>221</v>
      </c>
      <c r="E46" s="6"/>
      <c r="F46" s="7">
        <f t="shared" si="11"/>
        <v>0</v>
      </c>
      <c r="G46" s="6">
        <v>16</v>
      </c>
      <c r="H46" s="7">
        <f>13/2</f>
        <v>6.5</v>
      </c>
      <c r="I46" s="6"/>
      <c r="J46" s="7">
        <f t="shared" si="3"/>
        <v>0</v>
      </c>
      <c r="K46" s="6"/>
      <c r="L46" s="7">
        <f t="shared" si="10"/>
        <v>0</v>
      </c>
      <c r="M46" s="6"/>
      <c r="N46" s="7">
        <f t="shared" si="12"/>
        <v>0</v>
      </c>
      <c r="O46" s="8">
        <f t="shared" si="6"/>
        <v>6.5</v>
      </c>
      <c r="P46" s="6">
        <f t="shared" si="7"/>
        <v>1</v>
      </c>
      <c r="Q46" s="6">
        <f t="shared" si="8"/>
        <v>36</v>
      </c>
      <c r="R46" s="13">
        <f t="shared" si="9"/>
        <v>0.2</v>
      </c>
    </row>
    <row r="47" spans="1:18" x14ac:dyDescent="0.3">
      <c r="A47" s="5">
        <f t="shared" ref="A47:A52" si="13">Q47</f>
        <v>37</v>
      </c>
      <c r="B47" s="6"/>
      <c r="C47" s="6"/>
      <c r="D47" s="6"/>
      <c r="E47" s="6"/>
      <c r="F47" s="7">
        <f t="shared" ref="F47:F52" si="14">IF(E47=0,,($E$9-E47)*$E$7*100/$E$9)</f>
        <v>0</v>
      </c>
      <c r="G47" s="6"/>
      <c r="H47" s="7">
        <f t="shared" ref="H47:H52" si="15">IF(G47=0,,($G$9-G47)*$G$7*100/$G$9)</f>
        <v>0</v>
      </c>
      <c r="I47" s="6"/>
      <c r="J47" s="7">
        <f t="shared" ref="J47:J52" si="16">IF(I47=0,,($I$9-I47)*$I$7*100/$I$9)</f>
        <v>0</v>
      </c>
      <c r="K47" s="6"/>
      <c r="L47" s="7">
        <f t="shared" ref="L47:L52" si="17">IF(K47=0,,($K$9-K47)*$K$7*100/$K$9)</f>
        <v>0</v>
      </c>
      <c r="M47" s="6"/>
      <c r="N47" s="7">
        <f t="shared" ref="N47:N48" si="18">IF(M47=0,,($M$9-M47)*$M$7*100/$M$9)</f>
        <v>0</v>
      </c>
      <c r="O47" s="8">
        <f t="shared" ref="O47:O52" si="19">F47+H47+J47+L47+N47</f>
        <v>0</v>
      </c>
      <c r="P47" s="6">
        <f t="shared" ref="P47:P52" si="20">COUNTA(E47,G47,I47,K47,M47)</f>
        <v>0</v>
      </c>
      <c r="Q47" s="6">
        <f t="shared" ref="Q47:Q52" si="21">ROW(B47)-10</f>
        <v>37</v>
      </c>
      <c r="R47" s="13">
        <f t="shared" ref="R47:R52" si="22">P47/$G$3</f>
        <v>0</v>
      </c>
    </row>
    <row r="48" spans="1:18" x14ac:dyDescent="0.3">
      <c r="A48" s="5">
        <f t="shared" si="13"/>
        <v>38</v>
      </c>
      <c r="B48" s="6"/>
      <c r="C48" s="6"/>
      <c r="D48" s="6"/>
      <c r="E48" s="6"/>
      <c r="F48" s="7">
        <f t="shared" si="14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17"/>
        <v>0</v>
      </c>
      <c r="M48" s="6"/>
      <c r="N48" s="7">
        <f t="shared" si="18"/>
        <v>0</v>
      </c>
      <c r="O48" s="8">
        <f t="shared" si="19"/>
        <v>0</v>
      </c>
      <c r="P48" s="6">
        <f t="shared" si="20"/>
        <v>0</v>
      </c>
      <c r="Q48" s="6">
        <f t="shared" si="21"/>
        <v>38</v>
      </c>
      <c r="R48" s="13">
        <f t="shared" si="22"/>
        <v>0</v>
      </c>
    </row>
    <row r="49" spans="1:18" x14ac:dyDescent="0.3">
      <c r="A49" s="5">
        <f t="shared" si="13"/>
        <v>39</v>
      </c>
      <c r="B49" s="6"/>
      <c r="C49" s="6"/>
      <c r="D49" s="6"/>
      <c r="E49" s="6"/>
      <c r="F49" s="7">
        <f t="shared" si="14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17"/>
        <v>0</v>
      </c>
      <c r="M49" s="6"/>
      <c r="N49" s="7">
        <f>7/2</f>
        <v>3.5</v>
      </c>
      <c r="O49" s="8">
        <f t="shared" si="19"/>
        <v>3.5</v>
      </c>
      <c r="P49" s="6">
        <f t="shared" si="20"/>
        <v>0</v>
      </c>
      <c r="Q49" s="6">
        <f t="shared" si="21"/>
        <v>39</v>
      </c>
      <c r="R49" s="13">
        <f t="shared" si="22"/>
        <v>0</v>
      </c>
    </row>
    <row r="50" spans="1:18" x14ac:dyDescent="0.3">
      <c r="A50" s="5">
        <f t="shared" si="13"/>
        <v>40</v>
      </c>
      <c r="B50" s="6"/>
      <c r="C50" s="6"/>
      <c r="D50" s="6"/>
      <c r="E50" s="6"/>
      <c r="F50" s="7">
        <f t="shared" si="14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17"/>
        <v>0</v>
      </c>
      <c r="M50" s="6"/>
      <c r="N50" s="7">
        <f>IF(M50=0,,($M$9-M50)*$M$7*100/$M$9)</f>
        <v>0</v>
      </c>
      <c r="O50" s="8">
        <f t="shared" si="19"/>
        <v>0</v>
      </c>
      <c r="P50" s="6">
        <f t="shared" si="20"/>
        <v>0</v>
      </c>
      <c r="Q50" s="6">
        <f t="shared" si="21"/>
        <v>40</v>
      </c>
      <c r="R50" s="13">
        <f t="shared" si="22"/>
        <v>0</v>
      </c>
    </row>
    <row r="51" spans="1:18" x14ac:dyDescent="0.3">
      <c r="A51" s="5">
        <f t="shared" si="13"/>
        <v>41</v>
      </c>
      <c r="B51" s="6"/>
      <c r="C51" s="6"/>
      <c r="D51" s="6"/>
      <c r="E51" s="6"/>
      <c r="F51" s="7">
        <f t="shared" si="14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17"/>
        <v>0</v>
      </c>
      <c r="M51" s="6"/>
      <c r="N51" s="7">
        <f>IF(M51=0,,($M$9-M51)*$M$7*100/$M$9)</f>
        <v>0</v>
      </c>
      <c r="O51" s="8">
        <f t="shared" si="19"/>
        <v>0</v>
      </c>
      <c r="P51" s="6">
        <f t="shared" si="20"/>
        <v>0</v>
      </c>
      <c r="Q51" s="6">
        <f t="shared" si="21"/>
        <v>41</v>
      </c>
      <c r="R51" s="13">
        <f t="shared" si="22"/>
        <v>0</v>
      </c>
    </row>
    <row r="52" spans="1:18" x14ac:dyDescent="0.3">
      <c r="A52" s="5">
        <f t="shared" si="13"/>
        <v>42</v>
      </c>
      <c r="B52" s="6"/>
      <c r="C52" s="6"/>
      <c r="D52" s="6"/>
      <c r="E52" s="6"/>
      <c r="F52" s="7">
        <f t="shared" si="14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17"/>
        <v>0</v>
      </c>
      <c r="M52" s="6"/>
      <c r="N52" s="7">
        <f>IF(M52=0,,($M$9-M52)*$M$7*100/$M$9)</f>
        <v>0</v>
      </c>
      <c r="O52" s="8">
        <f t="shared" si="19"/>
        <v>0</v>
      </c>
      <c r="P52" s="6">
        <f t="shared" si="20"/>
        <v>0</v>
      </c>
      <c r="Q52" s="6">
        <f t="shared" si="21"/>
        <v>42</v>
      </c>
      <c r="R52" s="13">
        <f t="shared" si="22"/>
        <v>0</v>
      </c>
    </row>
    <row r="53" spans="1:18" x14ac:dyDescent="0.3">
      <c r="A53" s="27" t="s">
        <v>18</v>
      </c>
      <c r="B53" s="27"/>
      <c r="C53" s="28"/>
      <c r="E53">
        <f>COUNTA(E11:E52)</f>
        <v>25</v>
      </c>
      <c r="G53">
        <f>COUNTA(G11:G52)</f>
        <v>16</v>
      </c>
      <c r="I53">
        <f>COUNTA(I11:I52)</f>
        <v>6</v>
      </c>
      <c r="K53">
        <f>COUNTA(K11:K52)</f>
        <v>22</v>
      </c>
      <c r="M53">
        <f>COUNTA(M11:M52)</f>
        <v>28</v>
      </c>
    </row>
    <row r="54" spans="1:18" x14ac:dyDescent="0.3">
      <c r="A54" s="30" t="s">
        <v>35</v>
      </c>
      <c r="B54" s="30"/>
      <c r="C54" s="30"/>
      <c r="E54" s="12">
        <f>E53/$G$2</f>
        <v>0.69444444444444442</v>
      </c>
      <c r="G54" s="12">
        <f>G53/$G$2</f>
        <v>0.44444444444444442</v>
      </c>
      <c r="I54" s="12">
        <f>I53/$G$2</f>
        <v>0.16666666666666666</v>
      </c>
      <c r="K54" s="12">
        <f>K53/$G$2</f>
        <v>0.61111111111111116</v>
      </c>
      <c r="M54" s="12">
        <f>M53/$G$2</f>
        <v>0.77777777777777779</v>
      </c>
    </row>
  </sheetData>
  <sortState xmlns:xlrd2="http://schemas.microsoft.com/office/spreadsheetml/2017/richdata2" ref="A11:R46">
    <sortCondition descending="1" ref="O11:O46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4"/>
  <sheetViews>
    <sheetView zoomScale="80" zoomScaleNormal="8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27" sqref="B27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3">
      <c r="E2" s="31" t="s">
        <v>32</v>
      </c>
      <c r="F2" s="31"/>
      <c r="G2" s="11">
        <f>COUNTA(B11:B52)</f>
        <v>36</v>
      </c>
    </row>
    <row r="3" spans="1:15" x14ac:dyDescent="0.3">
      <c r="B3" s="2"/>
      <c r="E3" s="31" t="s">
        <v>33</v>
      </c>
      <c r="F3" s="31"/>
      <c r="G3" s="11">
        <f>COUNTA(E8:J8)</f>
        <v>3</v>
      </c>
    </row>
    <row r="4" spans="1:15" x14ac:dyDescent="0.3">
      <c r="B4" s="2"/>
      <c r="C4" s="3"/>
    </row>
    <row r="6" spans="1:15" x14ac:dyDescent="0.3">
      <c r="D6" s="1" t="s">
        <v>0</v>
      </c>
      <c r="E6" s="26" t="s">
        <v>269</v>
      </c>
      <c r="F6" s="26"/>
      <c r="G6" s="26" t="s">
        <v>270</v>
      </c>
      <c r="H6" s="26"/>
      <c r="I6" s="26" t="s">
        <v>271</v>
      </c>
      <c r="J6" s="26"/>
    </row>
    <row r="7" spans="1:15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</row>
    <row r="8" spans="1:15" x14ac:dyDescent="0.3">
      <c r="D8" s="1" t="s">
        <v>1</v>
      </c>
      <c r="E8" s="29">
        <v>45578</v>
      </c>
      <c r="F8" s="29"/>
      <c r="G8" s="29">
        <v>45683</v>
      </c>
      <c r="H8" s="29"/>
      <c r="I8" s="29">
        <v>45774</v>
      </c>
      <c r="J8" s="29"/>
    </row>
    <row r="9" spans="1:15" x14ac:dyDescent="0.3">
      <c r="D9" s="1" t="s">
        <v>2</v>
      </c>
      <c r="E9" s="26">
        <v>25</v>
      </c>
      <c r="F9" s="26"/>
      <c r="G9" s="26">
        <v>22</v>
      </c>
      <c r="H9" s="26"/>
      <c r="I9" s="26">
        <v>28</v>
      </c>
      <c r="J9" s="26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34</v>
      </c>
      <c r="M10" s="1" t="s">
        <v>9</v>
      </c>
      <c r="N10" s="1" t="s">
        <v>36</v>
      </c>
    </row>
    <row r="11" spans="1:15" x14ac:dyDescent="0.3">
      <c r="A11" s="5">
        <f t="shared" ref="A11:A46" si="0">M11</f>
        <v>1</v>
      </c>
      <c r="B11" s="6" t="s">
        <v>188</v>
      </c>
      <c r="C11" s="6" t="s">
        <v>137</v>
      </c>
      <c r="D11" s="6" t="s">
        <v>189</v>
      </c>
      <c r="E11" s="6">
        <v>2</v>
      </c>
      <c r="F11" s="7">
        <f t="shared" ref="F11:F36" si="1">IF(E11=0,,($E$9-E11)*$E$7*100/$E$9)</f>
        <v>184</v>
      </c>
      <c r="G11" s="6">
        <v>1</v>
      </c>
      <c r="H11" s="7">
        <f t="shared" ref="H11:H28" si="2">IF(G11=0,,($G$9-G11)*$G$7*100/$G$9)</f>
        <v>190.90909090909091</v>
      </c>
      <c r="I11" s="6">
        <v>2</v>
      </c>
      <c r="J11" s="7">
        <f t="shared" ref="J11:J37" si="3">IF(I11=0,,($I$9-I11)*$I$7*100/$I$9)</f>
        <v>185.71428571428572</v>
      </c>
      <c r="K11" s="8">
        <f t="shared" ref="K11:K46" si="4">F11+H11+J11</f>
        <v>560.62337662337654</v>
      </c>
      <c r="L11" s="6">
        <f>COUNTA(E11,#REF!,#REF!,G11,I11)</f>
        <v>5</v>
      </c>
      <c r="M11" s="6">
        <f t="shared" ref="M11:M46" si="5">ROW(B11)-10</f>
        <v>1</v>
      </c>
      <c r="N11" s="13">
        <f t="shared" ref="N11:N46" si="6">L11/$G$3</f>
        <v>1.6666666666666667</v>
      </c>
    </row>
    <row r="12" spans="1:15" x14ac:dyDescent="0.3">
      <c r="A12" s="5">
        <f t="shared" si="0"/>
        <v>2</v>
      </c>
      <c r="B12" s="6" t="s">
        <v>156</v>
      </c>
      <c r="C12" s="6" t="s">
        <v>114</v>
      </c>
      <c r="D12" s="6" t="s">
        <v>291</v>
      </c>
      <c r="E12" s="6">
        <v>3</v>
      </c>
      <c r="F12" s="7">
        <f t="shared" si="1"/>
        <v>176</v>
      </c>
      <c r="G12" s="6">
        <v>5</v>
      </c>
      <c r="H12" s="7">
        <f t="shared" si="2"/>
        <v>154.54545454545453</v>
      </c>
      <c r="I12" s="6">
        <v>3</v>
      </c>
      <c r="J12" s="7">
        <f t="shared" si="3"/>
        <v>178.57142857142858</v>
      </c>
      <c r="K12" s="8">
        <f t="shared" si="4"/>
        <v>509.11688311688306</v>
      </c>
      <c r="L12" s="6">
        <f>COUNTA(E12,#REF!,#REF!,G12,I12)</f>
        <v>5</v>
      </c>
      <c r="M12" s="6">
        <f t="shared" si="5"/>
        <v>2</v>
      </c>
      <c r="N12" s="13">
        <f t="shared" si="6"/>
        <v>1.6666666666666667</v>
      </c>
    </row>
    <row r="13" spans="1:15" x14ac:dyDescent="0.3">
      <c r="A13" s="5">
        <f t="shared" si="0"/>
        <v>3</v>
      </c>
      <c r="B13" s="6" t="s">
        <v>213</v>
      </c>
      <c r="C13" s="6" t="s">
        <v>90</v>
      </c>
      <c r="D13" s="6" t="s">
        <v>189</v>
      </c>
      <c r="E13" s="6">
        <v>10</v>
      </c>
      <c r="F13" s="7">
        <f t="shared" si="1"/>
        <v>120</v>
      </c>
      <c r="G13" s="6">
        <v>3</v>
      </c>
      <c r="H13" s="7">
        <f t="shared" si="2"/>
        <v>172.72727272727272</v>
      </c>
      <c r="I13" s="6">
        <v>3</v>
      </c>
      <c r="J13" s="7">
        <f t="shared" si="3"/>
        <v>178.57142857142858</v>
      </c>
      <c r="K13" s="8">
        <f t="shared" si="4"/>
        <v>471.2987012987013</v>
      </c>
      <c r="L13" s="6">
        <f>COUNTA(E13,#REF!,#REF!,G13,I13)</f>
        <v>5</v>
      </c>
      <c r="M13" s="6">
        <f t="shared" si="5"/>
        <v>3</v>
      </c>
      <c r="N13" s="13">
        <f t="shared" si="6"/>
        <v>1.6666666666666667</v>
      </c>
    </row>
    <row r="14" spans="1:15" x14ac:dyDescent="0.3">
      <c r="A14" s="5">
        <f t="shared" si="0"/>
        <v>4</v>
      </c>
      <c r="B14" s="6" t="s">
        <v>162</v>
      </c>
      <c r="C14" s="6" t="s">
        <v>163</v>
      </c>
      <c r="D14" s="6" t="s">
        <v>89</v>
      </c>
      <c r="E14" s="6">
        <v>5</v>
      </c>
      <c r="F14" s="7">
        <f t="shared" si="1"/>
        <v>160</v>
      </c>
      <c r="G14" s="6">
        <v>6</v>
      </c>
      <c r="H14" s="7">
        <f t="shared" si="2"/>
        <v>145.45454545454547</v>
      </c>
      <c r="I14" s="6">
        <v>6</v>
      </c>
      <c r="J14" s="7">
        <f t="shared" si="3"/>
        <v>157.14285714285714</v>
      </c>
      <c r="K14" s="8">
        <f t="shared" si="4"/>
        <v>462.59740259740261</v>
      </c>
      <c r="L14" s="6">
        <f>COUNTA(E14,#REF!,#REF!,G14,I14)</f>
        <v>5</v>
      </c>
      <c r="M14" s="6">
        <f t="shared" si="5"/>
        <v>4</v>
      </c>
      <c r="N14" s="13">
        <f t="shared" si="6"/>
        <v>1.6666666666666667</v>
      </c>
    </row>
    <row r="15" spans="1:15" x14ac:dyDescent="0.3">
      <c r="A15" s="5">
        <f t="shared" si="0"/>
        <v>5</v>
      </c>
      <c r="B15" s="6" t="s">
        <v>190</v>
      </c>
      <c r="C15" s="6" t="s">
        <v>191</v>
      </c>
      <c r="D15" s="6" t="s">
        <v>189</v>
      </c>
      <c r="E15" s="6">
        <v>3</v>
      </c>
      <c r="F15" s="7">
        <f t="shared" si="1"/>
        <v>176</v>
      </c>
      <c r="G15" s="6">
        <v>2</v>
      </c>
      <c r="H15" s="7">
        <f t="shared" si="2"/>
        <v>181.81818181818181</v>
      </c>
      <c r="I15" s="6">
        <v>17</v>
      </c>
      <c r="J15" s="7">
        <f t="shared" si="3"/>
        <v>78.571428571428569</v>
      </c>
      <c r="K15" s="8">
        <f t="shared" si="4"/>
        <v>436.38961038961037</v>
      </c>
      <c r="L15" s="6">
        <f>COUNTA(E15,#REF!,#REF!,G15,I15)</f>
        <v>5</v>
      </c>
      <c r="M15" s="6">
        <f t="shared" si="5"/>
        <v>5</v>
      </c>
      <c r="N15" s="13">
        <f t="shared" si="6"/>
        <v>1.6666666666666667</v>
      </c>
    </row>
    <row r="16" spans="1:15" x14ac:dyDescent="0.3">
      <c r="A16" s="5">
        <f t="shared" si="0"/>
        <v>6</v>
      </c>
      <c r="B16" s="6" t="s">
        <v>117</v>
      </c>
      <c r="C16" s="6" t="s">
        <v>118</v>
      </c>
      <c r="D16" s="6" t="s">
        <v>65</v>
      </c>
      <c r="E16" s="6">
        <v>6</v>
      </c>
      <c r="F16" s="7">
        <f t="shared" si="1"/>
        <v>152</v>
      </c>
      <c r="G16" s="6">
        <v>12</v>
      </c>
      <c r="H16" s="7">
        <f t="shared" si="2"/>
        <v>90.909090909090907</v>
      </c>
      <c r="I16" s="6">
        <v>1</v>
      </c>
      <c r="J16" s="7">
        <f t="shared" si="3"/>
        <v>192.85714285714286</v>
      </c>
      <c r="K16" s="8">
        <f t="shared" si="4"/>
        <v>435.76623376623377</v>
      </c>
      <c r="L16" s="6">
        <f>COUNTA(E16,#REF!,#REF!,G16,I16)</f>
        <v>5</v>
      </c>
      <c r="M16" s="6">
        <f t="shared" si="5"/>
        <v>6</v>
      </c>
      <c r="N16" s="13">
        <f t="shared" si="6"/>
        <v>1.6666666666666667</v>
      </c>
    </row>
    <row r="17" spans="1:14" x14ac:dyDescent="0.3">
      <c r="A17" s="5">
        <f t="shared" si="0"/>
        <v>7</v>
      </c>
      <c r="B17" s="6" t="s">
        <v>123</v>
      </c>
      <c r="C17" s="6" t="s">
        <v>124</v>
      </c>
      <c r="D17" s="6" t="s">
        <v>48</v>
      </c>
      <c r="E17" s="6">
        <v>1</v>
      </c>
      <c r="F17" s="7">
        <f t="shared" si="1"/>
        <v>192</v>
      </c>
      <c r="G17" s="6"/>
      <c r="H17" s="7">
        <f t="shared" si="2"/>
        <v>0</v>
      </c>
      <c r="I17" s="6">
        <v>5</v>
      </c>
      <c r="J17" s="7">
        <f t="shared" si="3"/>
        <v>164.28571428571428</v>
      </c>
      <c r="K17" s="8">
        <f t="shared" si="4"/>
        <v>356.28571428571428</v>
      </c>
      <c r="L17" s="6">
        <f>COUNTA(E17,#REF!,#REF!,G17,I17)</f>
        <v>4</v>
      </c>
      <c r="M17" s="6">
        <f t="shared" si="5"/>
        <v>7</v>
      </c>
      <c r="N17" s="13">
        <f t="shared" si="6"/>
        <v>1.3333333333333333</v>
      </c>
    </row>
    <row r="18" spans="1:14" x14ac:dyDescent="0.3">
      <c r="A18" s="5">
        <f t="shared" si="0"/>
        <v>8</v>
      </c>
      <c r="B18" s="6" t="s">
        <v>162</v>
      </c>
      <c r="C18" s="6" t="s">
        <v>164</v>
      </c>
      <c r="D18" s="6" t="s">
        <v>89</v>
      </c>
      <c r="E18" s="6">
        <v>17</v>
      </c>
      <c r="F18" s="7">
        <f t="shared" si="1"/>
        <v>64</v>
      </c>
      <c r="G18" s="6">
        <v>7</v>
      </c>
      <c r="H18" s="7">
        <f t="shared" si="2"/>
        <v>136.36363636363637</v>
      </c>
      <c r="I18" s="6">
        <v>9</v>
      </c>
      <c r="J18" s="7">
        <f t="shared" si="3"/>
        <v>135.71428571428572</v>
      </c>
      <c r="K18" s="8">
        <f t="shared" si="4"/>
        <v>336.0779220779221</v>
      </c>
      <c r="L18" s="6">
        <f>COUNTA(E18,#REF!,#REF!,G18,I18)</f>
        <v>5</v>
      </c>
      <c r="M18" s="6">
        <f t="shared" si="5"/>
        <v>8</v>
      </c>
      <c r="N18" s="13">
        <f t="shared" si="6"/>
        <v>1.6666666666666667</v>
      </c>
    </row>
    <row r="19" spans="1:14" x14ac:dyDescent="0.3">
      <c r="A19" s="5">
        <f t="shared" si="0"/>
        <v>9</v>
      </c>
      <c r="B19" s="6" t="s">
        <v>292</v>
      </c>
      <c r="C19" s="6" t="s">
        <v>139</v>
      </c>
      <c r="D19" s="6" t="s">
        <v>48</v>
      </c>
      <c r="E19" s="6">
        <v>7</v>
      </c>
      <c r="F19" s="7">
        <f t="shared" si="1"/>
        <v>144</v>
      </c>
      <c r="G19" s="6">
        <v>13</v>
      </c>
      <c r="H19" s="7">
        <f t="shared" si="2"/>
        <v>81.818181818181813</v>
      </c>
      <c r="I19" s="6">
        <v>13</v>
      </c>
      <c r="J19" s="7">
        <f t="shared" si="3"/>
        <v>107.14285714285714</v>
      </c>
      <c r="K19" s="8">
        <f t="shared" si="4"/>
        <v>332.96103896103898</v>
      </c>
      <c r="L19" s="6">
        <f>COUNTA(E19,#REF!,#REF!,G19,I19)</f>
        <v>5</v>
      </c>
      <c r="M19" s="6">
        <f t="shared" si="5"/>
        <v>9</v>
      </c>
      <c r="N19" s="13">
        <f t="shared" si="6"/>
        <v>1.6666666666666667</v>
      </c>
    </row>
    <row r="20" spans="1:14" x14ac:dyDescent="0.3">
      <c r="A20" s="5">
        <f t="shared" si="0"/>
        <v>10</v>
      </c>
      <c r="B20" s="6" t="s">
        <v>143</v>
      </c>
      <c r="C20" s="6" t="s">
        <v>140</v>
      </c>
      <c r="D20" s="6" t="s">
        <v>48</v>
      </c>
      <c r="E20" s="6">
        <v>15</v>
      </c>
      <c r="F20" s="7">
        <f t="shared" si="1"/>
        <v>80</v>
      </c>
      <c r="G20" s="6">
        <v>10</v>
      </c>
      <c r="H20" s="7">
        <f t="shared" si="2"/>
        <v>109.09090909090909</v>
      </c>
      <c r="I20" s="6">
        <v>11</v>
      </c>
      <c r="J20" s="7">
        <f t="shared" si="3"/>
        <v>121.42857142857143</v>
      </c>
      <c r="K20" s="8">
        <f t="shared" si="4"/>
        <v>310.51948051948051</v>
      </c>
      <c r="L20" s="6">
        <f>COUNTA(E20,#REF!,#REF!,G20,I20)</f>
        <v>5</v>
      </c>
      <c r="M20" s="6">
        <f t="shared" si="5"/>
        <v>10</v>
      </c>
      <c r="N20" s="13">
        <f t="shared" si="6"/>
        <v>1.6666666666666667</v>
      </c>
    </row>
    <row r="21" spans="1:14" x14ac:dyDescent="0.3">
      <c r="A21" s="5">
        <f t="shared" si="0"/>
        <v>11</v>
      </c>
      <c r="B21" s="6" t="s">
        <v>135</v>
      </c>
      <c r="C21" s="6" t="s">
        <v>124</v>
      </c>
      <c r="D21" s="6" t="s">
        <v>48</v>
      </c>
      <c r="E21" s="6">
        <v>8</v>
      </c>
      <c r="F21" s="7">
        <f t="shared" si="1"/>
        <v>136</v>
      </c>
      <c r="G21" s="6"/>
      <c r="H21" s="7">
        <f t="shared" si="2"/>
        <v>0</v>
      </c>
      <c r="I21" s="6">
        <v>7</v>
      </c>
      <c r="J21" s="7">
        <f t="shared" si="3"/>
        <v>150</v>
      </c>
      <c r="K21" s="8">
        <f t="shared" si="4"/>
        <v>286</v>
      </c>
      <c r="L21" s="6">
        <f>COUNTA(E21,#REF!,#REF!,G21,I21)</f>
        <v>4</v>
      </c>
      <c r="M21" s="6">
        <f t="shared" si="5"/>
        <v>11</v>
      </c>
      <c r="N21" s="13">
        <f t="shared" si="6"/>
        <v>1.3333333333333333</v>
      </c>
    </row>
    <row r="22" spans="1:14" x14ac:dyDescent="0.3">
      <c r="A22" s="5">
        <f t="shared" si="0"/>
        <v>12</v>
      </c>
      <c r="B22" s="6" t="s">
        <v>151</v>
      </c>
      <c r="C22" s="6" t="s">
        <v>126</v>
      </c>
      <c r="D22" s="6" t="s">
        <v>48</v>
      </c>
      <c r="E22" s="6">
        <v>14</v>
      </c>
      <c r="F22" s="7">
        <f t="shared" si="1"/>
        <v>88</v>
      </c>
      <c r="G22" s="6">
        <v>15</v>
      </c>
      <c r="H22" s="7">
        <f t="shared" si="2"/>
        <v>63.636363636363633</v>
      </c>
      <c r="I22" s="6">
        <v>10</v>
      </c>
      <c r="J22" s="7">
        <f t="shared" si="3"/>
        <v>128.57142857142858</v>
      </c>
      <c r="K22" s="8">
        <f t="shared" si="4"/>
        <v>280.20779220779218</v>
      </c>
      <c r="L22" s="6">
        <f>COUNTA(E22,#REF!,#REF!,G22,I22)</f>
        <v>5</v>
      </c>
      <c r="M22" s="6">
        <f t="shared" si="5"/>
        <v>12</v>
      </c>
      <c r="N22" s="13">
        <f t="shared" si="6"/>
        <v>1.6666666666666667</v>
      </c>
    </row>
    <row r="23" spans="1:14" x14ac:dyDescent="0.3">
      <c r="A23" s="5">
        <f t="shared" si="0"/>
        <v>13</v>
      </c>
      <c r="B23" s="6" t="s">
        <v>108</v>
      </c>
      <c r="C23" s="6" t="s">
        <v>430</v>
      </c>
      <c r="D23" s="6" t="s">
        <v>65</v>
      </c>
      <c r="E23" s="6"/>
      <c r="F23" s="7">
        <f t="shared" si="1"/>
        <v>0</v>
      </c>
      <c r="G23" s="6">
        <v>9</v>
      </c>
      <c r="H23" s="7">
        <f t="shared" si="2"/>
        <v>118.18181818181819</v>
      </c>
      <c r="I23" s="6">
        <v>8</v>
      </c>
      <c r="J23" s="7">
        <f t="shared" si="3"/>
        <v>142.85714285714286</v>
      </c>
      <c r="K23" s="8">
        <f t="shared" si="4"/>
        <v>261.03896103896102</v>
      </c>
      <c r="L23" s="6">
        <f>COUNTA(E23,#REF!,#REF!,G23,I23)</f>
        <v>4</v>
      </c>
      <c r="M23" s="6">
        <f t="shared" si="5"/>
        <v>13</v>
      </c>
      <c r="N23" s="13">
        <f t="shared" si="6"/>
        <v>1.3333333333333333</v>
      </c>
    </row>
    <row r="24" spans="1:14" x14ac:dyDescent="0.3">
      <c r="A24" s="5">
        <f t="shared" si="0"/>
        <v>14</v>
      </c>
      <c r="B24" s="6" t="s">
        <v>219</v>
      </c>
      <c r="C24" s="6" t="s">
        <v>220</v>
      </c>
      <c r="D24" s="6" t="s">
        <v>72</v>
      </c>
      <c r="E24" s="6">
        <v>11</v>
      </c>
      <c r="F24" s="7">
        <f t="shared" si="1"/>
        <v>112</v>
      </c>
      <c r="G24" s="6">
        <v>8</v>
      </c>
      <c r="H24" s="7">
        <f t="shared" si="2"/>
        <v>127.27272727272727</v>
      </c>
      <c r="I24" s="6"/>
      <c r="J24" s="7">
        <f t="shared" si="3"/>
        <v>0</v>
      </c>
      <c r="K24" s="8">
        <f t="shared" si="4"/>
        <v>239.27272727272725</v>
      </c>
      <c r="L24" s="6">
        <f>COUNTA(E24,#REF!,#REF!,G24,I24)</f>
        <v>4</v>
      </c>
      <c r="M24" s="6">
        <f t="shared" si="5"/>
        <v>14</v>
      </c>
      <c r="N24" s="13">
        <f t="shared" si="6"/>
        <v>1.3333333333333333</v>
      </c>
    </row>
    <row r="25" spans="1:14" x14ac:dyDescent="0.3">
      <c r="A25" s="5">
        <f t="shared" si="0"/>
        <v>15</v>
      </c>
      <c r="B25" s="6" t="s">
        <v>301</v>
      </c>
      <c r="C25" s="6" t="s">
        <v>64</v>
      </c>
      <c r="D25" s="6" t="s">
        <v>89</v>
      </c>
      <c r="E25" s="6">
        <v>20</v>
      </c>
      <c r="F25" s="7">
        <f t="shared" si="1"/>
        <v>40</v>
      </c>
      <c r="G25" s="6">
        <v>14</v>
      </c>
      <c r="H25" s="7">
        <f t="shared" si="2"/>
        <v>72.727272727272734</v>
      </c>
      <c r="I25" s="6">
        <v>16</v>
      </c>
      <c r="J25" s="7">
        <f t="shared" si="3"/>
        <v>85.714285714285708</v>
      </c>
      <c r="K25" s="8">
        <f t="shared" si="4"/>
        <v>198.44155844155844</v>
      </c>
      <c r="L25" s="6">
        <f>COUNTA(E25,#REF!,#REF!,G25,I25)</f>
        <v>5</v>
      </c>
      <c r="M25" s="6">
        <f t="shared" si="5"/>
        <v>15</v>
      </c>
      <c r="N25" s="13">
        <f t="shared" si="6"/>
        <v>1.6666666666666667</v>
      </c>
    </row>
    <row r="26" spans="1:14" x14ac:dyDescent="0.3">
      <c r="A26" s="5">
        <f t="shared" si="0"/>
        <v>16</v>
      </c>
      <c r="B26" s="6" t="s">
        <v>202</v>
      </c>
      <c r="C26" s="6" t="s">
        <v>203</v>
      </c>
      <c r="D26" s="6" t="s">
        <v>189</v>
      </c>
      <c r="E26" s="6">
        <v>12</v>
      </c>
      <c r="F26" s="7">
        <f t="shared" si="1"/>
        <v>104</v>
      </c>
      <c r="G26" s="6"/>
      <c r="H26" s="7">
        <f t="shared" si="2"/>
        <v>0</v>
      </c>
      <c r="I26" s="6">
        <v>15</v>
      </c>
      <c r="J26" s="7">
        <f t="shared" si="3"/>
        <v>92.857142857142861</v>
      </c>
      <c r="K26" s="8">
        <f t="shared" si="4"/>
        <v>196.85714285714286</v>
      </c>
      <c r="L26" s="6">
        <f>COUNTA(E26,#REF!,#REF!,G26,I26)</f>
        <v>4</v>
      </c>
      <c r="M26" s="6">
        <f t="shared" si="5"/>
        <v>16</v>
      </c>
      <c r="N26" s="13">
        <f t="shared" si="6"/>
        <v>1.3333333333333333</v>
      </c>
    </row>
    <row r="27" spans="1:14" x14ac:dyDescent="0.3">
      <c r="A27" s="5">
        <f t="shared" si="0"/>
        <v>17</v>
      </c>
      <c r="B27" s="6" t="s">
        <v>294</v>
      </c>
      <c r="C27" s="15" t="s">
        <v>295</v>
      </c>
      <c r="D27" s="6" t="s">
        <v>89</v>
      </c>
      <c r="E27" s="6">
        <v>13</v>
      </c>
      <c r="F27" s="7">
        <f t="shared" si="1"/>
        <v>96</v>
      </c>
      <c r="G27" s="6">
        <v>18</v>
      </c>
      <c r="H27" s="7">
        <f t="shared" si="2"/>
        <v>36.363636363636367</v>
      </c>
      <c r="I27" s="6">
        <v>20</v>
      </c>
      <c r="J27" s="7">
        <f t="shared" si="3"/>
        <v>57.142857142857146</v>
      </c>
      <c r="K27" s="8">
        <f t="shared" si="4"/>
        <v>189.50649350649351</v>
      </c>
      <c r="L27" s="6">
        <f>COUNTA(E27,#REF!,#REF!,G27,I27)</f>
        <v>5</v>
      </c>
      <c r="M27" s="6">
        <f t="shared" si="5"/>
        <v>17</v>
      </c>
      <c r="N27" s="13">
        <f t="shared" si="6"/>
        <v>1.6666666666666667</v>
      </c>
    </row>
    <row r="28" spans="1:14" x14ac:dyDescent="0.3">
      <c r="A28" s="5">
        <f t="shared" si="0"/>
        <v>18</v>
      </c>
      <c r="B28" s="6" t="s">
        <v>370</v>
      </c>
      <c r="C28" s="6" t="s">
        <v>371</v>
      </c>
      <c r="D28" s="6" t="s">
        <v>49</v>
      </c>
      <c r="E28" s="6"/>
      <c r="F28" s="7">
        <f t="shared" si="1"/>
        <v>0</v>
      </c>
      <c r="G28" s="6">
        <v>3</v>
      </c>
      <c r="H28" s="7">
        <f t="shared" si="2"/>
        <v>172.72727272727272</v>
      </c>
      <c r="I28" s="6"/>
      <c r="J28" s="7">
        <f t="shared" si="3"/>
        <v>0</v>
      </c>
      <c r="K28" s="8">
        <f t="shared" si="4"/>
        <v>172.72727272727272</v>
      </c>
      <c r="L28" s="6">
        <f>COUNTA(E28,#REF!,#REF!,G28,I28)</f>
        <v>3</v>
      </c>
      <c r="M28" s="6">
        <f t="shared" si="5"/>
        <v>18</v>
      </c>
      <c r="N28" s="13">
        <f t="shared" si="6"/>
        <v>1</v>
      </c>
    </row>
    <row r="29" spans="1:14" x14ac:dyDescent="0.3">
      <c r="A29" s="5">
        <f t="shared" si="0"/>
        <v>19</v>
      </c>
      <c r="B29" s="6" t="s">
        <v>293</v>
      </c>
      <c r="C29" s="6" t="s">
        <v>225</v>
      </c>
      <c r="D29" s="6" t="s">
        <v>48</v>
      </c>
      <c r="E29" s="6">
        <v>9</v>
      </c>
      <c r="F29" s="7">
        <f t="shared" si="1"/>
        <v>128</v>
      </c>
      <c r="G29" s="6">
        <v>22</v>
      </c>
      <c r="H29" s="7">
        <f>9/2</f>
        <v>4.5</v>
      </c>
      <c r="I29" s="6">
        <v>24</v>
      </c>
      <c r="J29" s="7">
        <f t="shared" si="3"/>
        <v>28.571428571428573</v>
      </c>
      <c r="K29" s="8">
        <f t="shared" si="4"/>
        <v>161.07142857142858</v>
      </c>
      <c r="L29" s="6">
        <f>COUNTA(E29,#REF!,#REF!,G29,I29)</f>
        <v>5</v>
      </c>
      <c r="M29" s="6">
        <f t="shared" si="5"/>
        <v>19</v>
      </c>
      <c r="N29" s="13">
        <f t="shared" si="6"/>
        <v>1.6666666666666667</v>
      </c>
    </row>
    <row r="30" spans="1:14" x14ac:dyDescent="0.3">
      <c r="A30" s="5">
        <f t="shared" si="0"/>
        <v>20</v>
      </c>
      <c r="B30" s="6" t="s">
        <v>505</v>
      </c>
      <c r="C30" s="6" t="s">
        <v>506</v>
      </c>
      <c r="D30" s="6"/>
      <c r="E30" s="6"/>
      <c r="F30" s="7">
        <f t="shared" si="1"/>
        <v>0</v>
      </c>
      <c r="G30" s="6">
        <v>16</v>
      </c>
      <c r="H30" s="7">
        <f t="shared" ref="H30:H46" si="7">IF(G30=0,,($G$9-G30)*$G$7*100/$G$9)</f>
        <v>54.545454545454547</v>
      </c>
      <c r="I30" s="6">
        <v>18</v>
      </c>
      <c r="J30" s="7">
        <f t="shared" si="3"/>
        <v>71.428571428571431</v>
      </c>
      <c r="K30" s="8">
        <f t="shared" si="4"/>
        <v>125.97402597402598</v>
      </c>
      <c r="L30" s="6">
        <f>COUNTA(E30,#REF!,#REF!,G30,I30)</f>
        <v>4</v>
      </c>
      <c r="M30" s="6">
        <f t="shared" si="5"/>
        <v>20</v>
      </c>
      <c r="N30" s="13">
        <f t="shared" si="6"/>
        <v>1.3333333333333333</v>
      </c>
    </row>
    <row r="31" spans="1:14" x14ac:dyDescent="0.3">
      <c r="A31" s="6">
        <f t="shared" si="0"/>
        <v>21</v>
      </c>
      <c r="B31" s="6" t="s">
        <v>296</v>
      </c>
      <c r="C31" s="6" t="s">
        <v>297</v>
      </c>
      <c r="D31" s="6" t="s">
        <v>65</v>
      </c>
      <c r="E31" s="6">
        <v>15</v>
      </c>
      <c r="F31" s="7">
        <f t="shared" si="1"/>
        <v>80</v>
      </c>
      <c r="G31" s="6"/>
      <c r="H31" s="7">
        <f t="shared" si="7"/>
        <v>0</v>
      </c>
      <c r="I31" s="6">
        <v>22</v>
      </c>
      <c r="J31" s="7">
        <f t="shared" si="3"/>
        <v>42.857142857142854</v>
      </c>
      <c r="K31" s="8">
        <f t="shared" si="4"/>
        <v>122.85714285714286</v>
      </c>
      <c r="L31" s="6">
        <f>COUNTA(E31,#REF!,#REF!,G31,I31)</f>
        <v>4</v>
      </c>
      <c r="M31" s="6">
        <f t="shared" si="5"/>
        <v>21</v>
      </c>
      <c r="N31" s="13">
        <f t="shared" si="6"/>
        <v>1.3333333333333333</v>
      </c>
    </row>
    <row r="32" spans="1:14" x14ac:dyDescent="0.3">
      <c r="A32" s="5">
        <f t="shared" si="0"/>
        <v>22</v>
      </c>
      <c r="B32" s="6" t="s">
        <v>600</v>
      </c>
      <c r="C32" s="6" t="s">
        <v>180</v>
      </c>
      <c r="D32" s="6" t="s">
        <v>598</v>
      </c>
      <c r="E32" s="6"/>
      <c r="F32" s="7">
        <f t="shared" si="1"/>
        <v>0</v>
      </c>
      <c r="G32" s="6"/>
      <c r="H32" s="7">
        <f t="shared" si="7"/>
        <v>0</v>
      </c>
      <c r="I32" s="6">
        <v>12</v>
      </c>
      <c r="J32" s="7">
        <f t="shared" si="3"/>
        <v>114.28571428571429</v>
      </c>
      <c r="K32" s="8">
        <f t="shared" si="4"/>
        <v>114.28571428571429</v>
      </c>
      <c r="L32" s="6">
        <f>COUNTA(E32,#REF!,#REF!,G32,I32)</f>
        <v>3</v>
      </c>
      <c r="M32" s="6">
        <f t="shared" si="5"/>
        <v>22</v>
      </c>
      <c r="N32" s="13">
        <f t="shared" si="6"/>
        <v>1</v>
      </c>
    </row>
    <row r="33" spans="1:14" x14ac:dyDescent="0.3">
      <c r="A33" s="5">
        <f t="shared" si="0"/>
        <v>23</v>
      </c>
      <c r="B33" s="6" t="s">
        <v>503</v>
      </c>
      <c r="C33" s="6" t="s">
        <v>504</v>
      </c>
      <c r="D33" s="6"/>
      <c r="E33" s="6"/>
      <c r="F33" s="7">
        <f t="shared" si="1"/>
        <v>0</v>
      </c>
      <c r="G33" s="6">
        <v>11</v>
      </c>
      <c r="H33" s="7">
        <f t="shared" si="7"/>
        <v>100</v>
      </c>
      <c r="I33" s="6"/>
      <c r="J33" s="7">
        <f t="shared" si="3"/>
        <v>0</v>
      </c>
      <c r="K33" s="8">
        <f t="shared" si="4"/>
        <v>100</v>
      </c>
      <c r="L33" s="6">
        <f>COUNTA(E33,#REF!,#REF!,G33,I33)</f>
        <v>3</v>
      </c>
      <c r="M33" s="6">
        <f t="shared" si="5"/>
        <v>23</v>
      </c>
      <c r="N33" s="13">
        <f t="shared" si="6"/>
        <v>1</v>
      </c>
    </row>
    <row r="34" spans="1:14" x14ac:dyDescent="0.3">
      <c r="A34" s="5">
        <f t="shared" si="0"/>
        <v>24</v>
      </c>
      <c r="B34" s="6" t="s">
        <v>599</v>
      </c>
      <c r="C34" s="6" t="s">
        <v>181</v>
      </c>
      <c r="D34" s="6" t="s">
        <v>598</v>
      </c>
      <c r="E34" s="6"/>
      <c r="F34" s="7">
        <f t="shared" si="1"/>
        <v>0</v>
      </c>
      <c r="G34" s="6"/>
      <c r="H34" s="7">
        <f t="shared" si="7"/>
        <v>0</v>
      </c>
      <c r="I34" s="6">
        <v>14</v>
      </c>
      <c r="J34" s="7">
        <f t="shared" si="3"/>
        <v>100</v>
      </c>
      <c r="K34" s="8">
        <f t="shared" si="4"/>
        <v>100</v>
      </c>
      <c r="L34" s="6">
        <f>COUNTA(E34,#REF!,#REF!,G34,I34)</f>
        <v>3</v>
      </c>
      <c r="M34" s="6">
        <f t="shared" si="5"/>
        <v>24</v>
      </c>
      <c r="N34" s="13">
        <f t="shared" si="6"/>
        <v>1</v>
      </c>
    </row>
    <row r="35" spans="1:14" x14ac:dyDescent="0.3">
      <c r="A35" s="5">
        <f t="shared" si="0"/>
        <v>25</v>
      </c>
      <c r="B35" s="6" t="s">
        <v>204</v>
      </c>
      <c r="C35" s="6" t="s">
        <v>192</v>
      </c>
      <c r="D35" s="6" t="s">
        <v>129</v>
      </c>
      <c r="E35" s="6">
        <v>24</v>
      </c>
      <c r="F35" s="7">
        <f t="shared" si="1"/>
        <v>8</v>
      </c>
      <c r="G35" s="6"/>
      <c r="H35" s="7">
        <f t="shared" si="7"/>
        <v>0</v>
      </c>
      <c r="I35" s="6">
        <v>19</v>
      </c>
      <c r="J35" s="7">
        <f t="shared" si="3"/>
        <v>64.285714285714292</v>
      </c>
      <c r="K35" s="8">
        <f t="shared" si="4"/>
        <v>72.285714285714292</v>
      </c>
      <c r="L35" s="6">
        <f>COUNTA(E35,#REF!,#REF!,G35,I35)</f>
        <v>4</v>
      </c>
      <c r="M35" s="6">
        <f t="shared" si="5"/>
        <v>25</v>
      </c>
      <c r="N35" s="13">
        <f t="shared" si="6"/>
        <v>1.3333333333333333</v>
      </c>
    </row>
    <row r="36" spans="1:14" x14ac:dyDescent="0.3">
      <c r="A36" s="5">
        <f t="shared" si="0"/>
        <v>26</v>
      </c>
      <c r="B36" s="6" t="s">
        <v>298</v>
      </c>
      <c r="C36" s="6" t="s">
        <v>80</v>
      </c>
      <c r="D36" s="6" t="s">
        <v>89</v>
      </c>
      <c r="E36" s="6">
        <v>18</v>
      </c>
      <c r="F36" s="7">
        <f t="shared" si="1"/>
        <v>56</v>
      </c>
      <c r="G36" s="6"/>
      <c r="H36" s="7">
        <f t="shared" si="7"/>
        <v>0</v>
      </c>
      <c r="I36" s="6"/>
      <c r="J36" s="7">
        <f t="shared" si="3"/>
        <v>0</v>
      </c>
      <c r="K36" s="8">
        <f t="shared" si="4"/>
        <v>56</v>
      </c>
      <c r="L36" s="6">
        <f>COUNTA(E36,#REF!,#REF!,G36,I36)</f>
        <v>3</v>
      </c>
      <c r="M36" s="6">
        <f t="shared" si="5"/>
        <v>26</v>
      </c>
      <c r="N36" s="13">
        <f t="shared" si="6"/>
        <v>1</v>
      </c>
    </row>
    <row r="37" spans="1:14" x14ac:dyDescent="0.3">
      <c r="A37" s="5">
        <f t="shared" si="0"/>
        <v>27</v>
      </c>
      <c r="B37" s="6" t="s">
        <v>215</v>
      </c>
      <c r="C37" s="6" t="s">
        <v>181</v>
      </c>
      <c r="D37" s="6" t="s">
        <v>129</v>
      </c>
      <c r="E37" s="6">
        <v>25</v>
      </c>
      <c r="F37" s="7">
        <f>8/2</f>
        <v>4</v>
      </c>
      <c r="G37" s="6"/>
      <c r="H37" s="7">
        <f t="shared" si="7"/>
        <v>0</v>
      </c>
      <c r="I37" s="6">
        <v>21</v>
      </c>
      <c r="J37" s="7">
        <f t="shared" si="3"/>
        <v>50</v>
      </c>
      <c r="K37" s="8">
        <f t="shared" si="4"/>
        <v>54</v>
      </c>
      <c r="L37" s="6">
        <f>COUNTA(E37,#REF!,#REF!,G37,I37)</f>
        <v>4</v>
      </c>
      <c r="M37" s="6">
        <f t="shared" si="5"/>
        <v>27</v>
      </c>
      <c r="N37" s="13">
        <f t="shared" si="6"/>
        <v>1.3333333333333333</v>
      </c>
    </row>
    <row r="38" spans="1:14" x14ac:dyDescent="0.3">
      <c r="A38" s="6">
        <f t="shared" si="0"/>
        <v>28</v>
      </c>
      <c r="B38" s="6" t="s">
        <v>299</v>
      </c>
      <c r="C38" s="6" t="s">
        <v>300</v>
      </c>
      <c r="D38" s="6" t="s">
        <v>48</v>
      </c>
      <c r="E38" s="6">
        <v>19</v>
      </c>
      <c r="F38" s="7">
        <f t="shared" ref="F38:F46" si="8">IF(E38=0,,($E$9-E38)*$E$7*100/$E$9)</f>
        <v>48</v>
      </c>
      <c r="G38" s="6"/>
      <c r="H38" s="7">
        <f t="shared" si="7"/>
        <v>0</v>
      </c>
      <c r="I38" s="6">
        <v>28</v>
      </c>
      <c r="J38" s="7">
        <v>3</v>
      </c>
      <c r="K38" s="8">
        <f t="shared" si="4"/>
        <v>51</v>
      </c>
      <c r="L38" s="6">
        <f>COUNTA(E38,#REF!,#REF!,G38,I38)</f>
        <v>4</v>
      </c>
      <c r="M38" s="6">
        <f t="shared" si="5"/>
        <v>28</v>
      </c>
      <c r="N38" s="13">
        <f t="shared" si="6"/>
        <v>1.3333333333333333</v>
      </c>
    </row>
    <row r="39" spans="1:14" x14ac:dyDescent="0.3">
      <c r="A39" s="5">
        <f t="shared" si="0"/>
        <v>29</v>
      </c>
      <c r="B39" s="6" t="s">
        <v>141</v>
      </c>
      <c r="C39" s="6" t="s">
        <v>142</v>
      </c>
      <c r="D39" s="6" t="s">
        <v>48</v>
      </c>
      <c r="E39" s="6">
        <v>21</v>
      </c>
      <c r="F39" s="7">
        <f t="shared" si="8"/>
        <v>32</v>
      </c>
      <c r="G39" s="6"/>
      <c r="H39" s="7">
        <f t="shared" si="7"/>
        <v>0</v>
      </c>
      <c r="I39" s="6">
        <v>26</v>
      </c>
      <c r="J39" s="7">
        <f t="shared" ref="J39:J46" si="9">IF(I39=0,,($I$9-I39)*$I$7*100/$I$9)</f>
        <v>14.285714285714286</v>
      </c>
      <c r="K39" s="8">
        <f t="shared" si="4"/>
        <v>46.285714285714285</v>
      </c>
      <c r="L39" s="6">
        <f>COUNTA(E39,#REF!,#REF!,G39,I39)</f>
        <v>4</v>
      </c>
      <c r="M39" s="6">
        <f t="shared" si="5"/>
        <v>29</v>
      </c>
      <c r="N39" s="13">
        <f t="shared" si="6"/>
        <v>1.3333333333333333</v>
      </c>
    </row>
    <row r="40" spans="1:14" x14ac:dyDescent="0.3">
      <c r="A40" s="5">
        <f t="shared" si="0"/>
        <v>30</v>
      </c>
      <c r="B40" s="6" t="s">
        <v>368</v>
      </c>
      <c r="C40" s="6" t="s">
        <v>369</v>
      </c>
      <c r="D40" s="6" t="s">
        <v>72</v>
      </c>
      <c r="E40" s="6"/>
      <c r="F40" s="7">
        <f t="shared" si="8"/>
        <v>0</v>
      </c>
      <c r="G40" s="6">
        <v>17</v>
      </c>
      <c r="H40" s="7">
        <f t="shared" si="7"/>
        <v>45.454545454545453</v>
      </c>
      <c r="I40" s="6"/>
      <c r="J40" s="7">
        <f t="shared" si="9"/>
        <v>0</v>
      </c>
      <c r="K40" s="8">
        <f t="shared" si="4"/>
        <v>45.454545454545453</v>
      </c>
      <c r="L40" s="6">
        <f>COUNTA(E40,#REF!,#REF!,G40,I40)</f>
        <v>3</v>
      </c>
      <c r="M40" s="6">
        <f t="shared" si="5"/>
        <v>30</v>
      </c>
      <c r="N40" s="13">
        <f t="shared" si="6"/>
        <v>1</v>
      </c>
    </row>
    <row r="41" spans="1:14" x14ac:dyDescent="0.3">
      <c r="A41" s="5">
        <f t="shared" si="0"/>
        <v>31</v>
      </c>
      <c r="B41" s="6" t="s">
        <v>302</v>
      </c>
      <c r="C41" s="6" t="s">
        <v>303</v>
      </c>
      <c r="D41" s="6" t="s">
        <v>65</v>
      </c>
      <c r="E41" s="6">
        <v>23</v>
      </c>
      <c r="F41" s="7">
        <f t="shared" si="8"/>
        <v>16</v>
      </c>
      <c r="G41" s="6">
        <v>19</v>
      </c>
      <c r="H41" s="7">
        <f t="shared" si="7"/>
        <v>27.272727272727273</v>
      </c>
      <c r="I41" s="6"/>
      <c r="J41" s="7">
        <f t="shared" si="9"/>
        <v>0</v>
      </c>
      <c r="K41" s="8">
        <f t="shared" si="4"/>
        <v>43.272727272727273</v>
      </c>
      <c r="L41" s="6">
        <f>COUNTA(E41,#REF!,#REF!,G41,I41)</f>
        <v>4</v>
      </c>
      <c r="M41" s="6">
        <f t="shared" si="5"/>
        <v>31</v>
      </c>
      <c r="N41" s="13">
        <f t="shared" si="6"/>
        <v>1.3333333333333333</v>
      </c>
    </row>
    <row r="42" spans="1:14" x14ac:dyDescent="0.3">
      <c r="A42" s="5">
        <f t="shared" si="0"/>
        <v>32</v>
      </c>
      <c r="B42" s="6" t="s">
        <v>133</v>
      </c>
      <c r="C42" s="6" t="s">
        <v>134</v>
      </c>
      <c r="D42" s="6" t="s">
        <v>252</v>
      </c>
      <c r="E42" s="6">
        <v>22</v>
      </c>
      <c r="F42" s="7">
        <f t="shared" si="8"/>
        <v>24</v>
      </c>
      <c r="G42" s="6">
        <v>21</v>
      </c>
      <c r="H42" s="7">
        <f t="shared" si="7"/>
        <v>9.0909090909090917</v>
      </c>
      <c r="I42" s="6">
        <v>27</v>
      </c>
      <c r="J42" s="7">
        <f t="shared" si="9"/>
        <v>7.1428571428571432</v>
      </c>
      <c r="K42" s="8">
        <f t="shared" si="4"/>
        <v>40.233766233766239</v>
      </c>
      <c r="L42" s="6">
        <f>COUNTA(E42,#REF!,#REF!,G42,I42)</f>
        <v>5</v>
      </c>
      <c r="M42" s="6">
        <f t="shared" si="5"/>
        <v>32</v>
      </c>
      <c r="N42" s="13">
        <f t="shared" si="6"/>
        <v>1.6666666666666667</v>
      </c>
    </row>
    <row r="43" spans="1:14" x14ac:dyDescent="0.3">
      <c r="A43" s="5">
        <f t="shared" si="0"/>
        <v>33</v>
      </c>
      <c r="B43" s="6" t="s">
        <v>574</v>
      </c>
      <c r="C43" s="6" t="s">
        <v>575</v>
      </c>
      <c r="D43" s="6" t="s">
        <v>252</v>
      </c>
      <c r="E43" s="6"/>
      <c r="F43" s="7">
        <f t="shared" si="8"/>
        <v>0</v>
      </c>
      <c r="G43" s="6"/>
      <c r="H43" s="7">
        <f t="shared" si="7"/>
        <v>0</v>
      </c>
      <c r="I43" s="6">
        <v>23</v>
      </c>
      <c r="J43" s="7">
        <f t="shared" si="9"/>
        <v>35.714285714285715</v>
      </c>
      <c r="K43" s="8">
        <f t="shared" si="4"/>
        <v>35.714285714285715</v>
      </c>
      <c r="L43" s="6">
        <f>COUNTA(E43,#REF!,#REF!,G43,I43)</f>
        <v>3</v>
      </c>
      <c r="M43" s="6">
        <f t="shared" si="5"/>
        <v>33</v>
      </c>
      <c r="N43" s="13">
        <f t="shared" si="6"/>
        <v>1</v>
      </c>
    </row>
    <row r="44" spans="1:14" x14ac:dyDescent="0.3">
      <c r="A44" s="5">
        <f t="shared" si="0"/>
        <v>34</v>
      </c>
      <c r="B44" s="6" t="s">
        <v>436</v>
      </c>
      <c r="C44" s="6" t="s">
        <v>502</v>
      </c>
      <c r="D44" s="6"/>
      <c r="E44" s="6"/>
      <c r="F44" s="7">
        <f t="shared" si="8"/>
        <v>0</v>
      </c>
      <c r="G44" s="6">
        <v>19</v>
      </c>
      <c r="H44" s="7">
        <f t="shared" si="7"/>
        <v>27.272727272727273</v>
      </c>
      <c r="I44" s="6"/>
      <c r="J44" s="7">
        <f t="shared" si="9"/>
        <v>0</v>
      </c>
      <c r="K44" s="8">
        <f t="shared" si="4"/>
        <v>27.272727272727273</v>
      </c>
      <c r="L44" s="6">
        <f>COUNTA(E44,#REF!,#REF!,G44,I44)</f>
        <v>3</v>
      </c>
      <c r="M44" s="6">
        <f t="shared" si="5"/>
        <v>34</v>
      </c>
      <c r="N44" s="13">
        <f t="shared" si="6"/>
        <v>1</v>
      </c>
    </row>
    <row r="45" spans="1:14" x14ac:dyDescent="0.3">
      <c r="A45" s="5">
        <f t="shared" si="0"/>
        <v>35</v>
      </c>
      <c r="B45" s="6" t="s">
        <v>576</v>
      </c>
      <c r="C45" s="6" t="s">
        <v>407</v>
      </c>
      <c r="D45" s="6" t="s">
        <v>252</v>
      </c>
      <c r="E45" s="6"/>
      <c r="F45" s="7">
        <f t="shared" si="8"/>
        <v>0</v>
      </c>
      <c r="G45" s="6"/>
      <c r="H45" s="7">
        <f t="shared" si="7"/>
        <v>0</v>
      </c>
      <c r="I45" s="6">
        <v>25</v>
      </c>
      <c r="J45" s="7">
        <f t="shared" si="9"/>
        <v>21.428571428571427</v>
      </c>
      <c r="K45" s="8">
        <f t="shared" si="4"/>
        <v>21.428571428571427</v>
      </c>
      <c r="L45" s="6">
        <f>COUNTA(E45,#REF!,#REF!,G45,I45)</f>
        <v>3</v>
      </c>
      <c r="M45" s="6">
        <f t="shared" si="5"/>
        <v>35</v>
      </c>
      <c r="N45" s="13">
        <f t="shared" si="6"/>
        <v>1</v>
      </c>
    </row>
    <row r="46" spans="1:14" x14ac:dyDescent="0.3">
      <c r="A46" s="5">
        <f t="shared" si="0"/>
        <v>36</v>
      </c>
      <c r="B46" s="6" t="s">
        <v>372</v>
      </c>
      <c r="C46" s="6" t="s">
        <v>373</v>
      </c>
      <c r="D46" s="6" t="s">
        <v>221</v>
      </c>
      <c r="E46" s="6"/>
      <c r="F46" s="7">
        <f t="shared" si="8"/>
        <v>0</v>
      </c>
      <c r="G46" s="6"/>
      <c r="H46" s="7">
        <f t="shared" si="7"/>
        <v>0</v>
      </c>
      <c r="I46" s="6"/>
      <c r="J46" s="7">
        <f t="shared" si="9"/>
        <v>0</v>
      </c>
      <c r="K46" s="8">
        <f t="shared" si="4"/>
        <v>0</v>
      </c>
      <c r="L46" s="6">
        <f>COUNTA(E46,#REF!,#REF!,G46,I46)</f>
        <v>2</v>
      </c>
      <c r="M46" s="6">
        <f t="shared" si="5"/>
        <v>36</v>
      </c>
      <c r="N46" s="13">
        <f t="shared" si="6"/>
        <v>0.66666666666666663</v>
      </c>
    </row>
    <row r="47" spans="1:14" x14ac:dyDescent="0.3">
      <c r="A47" s="5">
        <f t="shared" ref="A47:A52" si="10">M47</f>
        <v>37</v>
      </c>
      <c r="B47" s="6"/>
      <c r="C47" s="6"/>
      <c r="D47" s="6"/>
      <c r="E47" s="6"/>
      <c r="F47" s="7">
        <f t="shared" ref="F47:F52" si="11">IF(E47=0,,($E$9-E47)*$E$7*100/$E$9)</f>
        <v>0</v>
      </c>
      <c r="G47" s="6"/>
      <c r="H47" s="7">
        <f t="shared" ref="H47:H52" si="12">IF(G47=0,,($G$9-G47)*$G$7*100/$G$9)</f>
        <v>0</v>
      </c>
      <c r="I47" s="6"/>
      <c r="J47" s="7">
        <f t="shared" ref="J47:J48" si="13">IF(I47=0,,($I$9-I47)*$I$7*100/$I$9)</f>
        <v>0</v>
      </c>
      <c r="K47" s="8">
        <f t="shared" ref="K47:K52" si="14">F47+H47+J47</f>
        <v>0</v>
      </c>
      <c r="L47" s="6">
        <f>COUNTA(E47,#REF!,#REF!,G47,I47)</f>
        <v>2</v>
      </c>
      <c r="M47" s="6">
        <f t="shared" ref="M47:M52" si="15">ROW(B47)-10</f>
        <v>37</v>
      </c>
      <c r="N47" s="13">
        <f t="shared" ref="N47:N52" si="16">L47/$G$3</f>
        <v>0.66666666666666663</v>
      </c>
    </row>
    <row r="48" spans="1:14" x14ac:dyDescent="0.3">
      <c r="A48" s="5">
        <f t="shared" si="10"/>
        <v>38</v>
      </c>
      <c r="B48" s="6"/>
      <c r="C48" s="6"/>
      <c r="D48" s="6"/>
      <c r="E48" s="6"/>
      <c r="F48" s="7">
        <f t="shared" si="11"/>
        <v>0</v>
      </c>
      <c r="G48" s="6"/>
      <c r="H48" s="7">
        <f t="shared" si="12"/>
        <v>0</v>
      </c>
      <c r="I48" s="6"/>
      <c r="J48" s="7">
        <f t="shared" si="13"/>
        <v>0</v>
      </c>
      <c r="K48" s="8">
        <f t="shared" si="14"/>
        <v>0</v>
      </c>
      <c r="L48" s="6">
        <f>COUNTA(E48,#REF!,#REF!,G48,I48)</f>
        <v>2</v>
      </c>
      <c r="M48" s="6">
        <f t="shared" si="15"/>
        <v>38</v>
      </c>
      <c r="N48" s="13">
        <f t="shared" si="16"/>
        <v>0.66666666666666663</v>
      </c>
    </row>
    <row r="49" spans="1:14" x14ac:dyDescent="0.3">
      <c r="A49" s="5">
        <f t="shared" si="10"/>
        <v>39</v>
      </c>
      <c r="B49" s="6"/>
      <c r="C49" s="6"/>
      <c r="D49" s="6"/>
      <c r="E49" s="6"/>
      <c r="F49" s="7">
        <f t="shared" si="11"/>
        <v>0</v>
      </c>
      <c r="G49" s="6"/>
      <c r="H49" s="7">
        <f t="shared" si="12"/>
        <v>0</v>
      </c>
      <c r="I49" s="6"/>
      <c r="J49" s="7">
        <f>7/2</f>
        <v>3.5</v>
      </c>
      <c r="K49" s="8">
        <f t="shared" si="14"/>
        <v>3.5</v>
      </c>
      <c r="L49" s="6">
        <f>COUNTA(E49,#REF!,#REF!,G49,I49)</f>
        <v>2</v>
      </c>
      <c r="M49" s="6">
        <f t="shared" si="15"/>
        <v>39</v>
      </c>
      <c r="N49" s="13">
        <f t="shared" si="16"/>
        <v>0.66666666666666663</v>
      </c>
    </row>
    <row r="50" spans="1:14" x14ac:dyDescent="0.3">
      <c r="A50" s="5">
        <f t="shared" si="10"/>
        <v>40</v>
      </c>
      <c r="B50" s="6"/>
      <c r="C50" s="6"/>
      <c r="D50" s="6"/>
      <c r="E50" s="6"/>
      <c r="F50" s="7">
        <f t="shared" si="11"/>
        <v>0</v>
      </c>
      <c r="G50" s="6"/>
      <c r="H50" s="7">
        <f t="shared" si="12"/>
        <v>0</v>
      </c>
      <c r="I50" s="6"/>
      <c r="J50" s="7">
        <f>IF(I50=0,,($I$9-I50)*$I$7*100/$I$9)</f>
        <v>0</v>
      </c>
      <c r="K50" s="8">
        <f t="shared" si="14"/>
        <v>0</v>
      </c>
      <c r="L50" s="6">
        <f>COUNTA(E50,#REF!,#REF!,G50,I50)</f>
        <v>2</v>
      </c>
      <c r="M50" s="6">
        <f t="shared" si="15"/>
        <v>40</v>
      </c>
      <c r="N50" s="13">
        <f t="shared" si="16"/>
        <v>0.66666666666666663</v>
      </c>
    </row>
    <row r="51" spans="1:14" x14ac:dyDescent="0.3">
      <c r="A51" s="5">
        <f t="shared" si="10"/>
        <v>41</v>
      </c>
      <c r="B51" s="6"/>
      <c r="C51" s="6"/>
      <c r="D51" s="6"/>
      <c r="E51" s="6"/>
      <c r="F51" s="7">
        <f t="shared" si="11"/>
        <v>0</v>
      </c>
      <c r="G51" s="6"/>
      <c r="H51" s="7">
        <f t="shared" si="12"/>
        <v>0</v>
      </c>
      <c r="I51" s="6"/>
      <c r="J51" s="7">
        <f>IF(I51=0,,($I$9-I51)*$I$7*100/$I$9)</f>
        <v>0</v>
      </c>
      <c r="K51" s="8">
        <f t="shared" si="14"/>
        <v>0</v>
      </c>
      <c r="L51" s="6">
        <f>COUNTA(E51,#REF!,#REF!,G51,I51)</f>
        <v>2</v>
      </c>
      <c r="M51" s="6">
        <f t="shared" si="15"/>
        <v>41</v>
      </c>
      <c r="N51" s="13">
        <f t="shared" si="16"/>
        <v>0.66666666666666663</v>
      </c>
    </row>
    <row r="52" spans="1:14" x14ac:dyDescent="0.3">
      <c r="A52" s="5">
        <f t="shared" si="10"/>
        <v>42</v>
      </c>
      <c r="B52" s="6"/>
      <c r="C52" s="6"/>
      <c r="D52" s="6"/>
      <c r="E52" s="6"/>
      <c r="F52" s="7">
        <f t="shared" si="11"/>
        <v>0</v>
      </c>
      <c r="G52" s="6"/>
      <c r="H52" s="7">
        <f t="shared" si="12"/>
        <v>0</v>
      </c>
      <c r="I52" s="6"/>
      <c r="J52" s="7">
        <f>IF(I52=0,,($I$9-I52)*$I$7*100/$I$9)</f>
        <v>0</v>
      </c>
      <c r="K52" s="8">
        <f t="shared" si="14"/>
        <v>0</v>
      </c>
      <c r="L52" s="6">
        <f>COUNTA(E52,#REF!,#REF!,G52,I52)</f>
        <v>2</v>
      </c>
      <c r="M52" s="6">
        <f t="shared" si="15"/>
        <v>42</v>
      </c>
      <c r="N52" s="13">
        <f t="shared" si="16"/>
        <v>0.66666666666666663</v>
      </c>
    </row>
    <row r="53" spans="1:14" x14ac:dyDescent="0.3">
      <c r="A53" s="27" t="s">
        <v>18</v>
      </c>
      <c r="B53" s="27"/>
      <c r="C53" s="28"/>
      <c r="E53">
        <f>COUNTA(E11:E52)</f>
        <v>25</v>
      </c>
      <c r="G53">
        <f>COUNTA(G11:G52)</f>
        <v>22</v>
      </c>
      <c r="I53">
        <f>COUNTA(I11:I52)</f>
        <v>28</v>
      </c>
    </row>
    <row r="54" spans="1:14" x14ac:dyDescent="0.3">
      <c r="A54" s="30" t="s">
        <v>35</v>
      </c>
      <c r="B54" s="30"/>
      <c r="C54" s="30"/>
      <c r="E54" s="12">
        <f>E53/$G$2</f>
        <v>0.69444444444444442</v>
      </c>
      <c r="G54" s="12">
        <f>G53/$G$2</f>
        <v>0.61111111111111116</v>
      </c>
      <c r="I54" s="12">
        <f>I53/$G$2</f>
        <v>0.77777777777777779</v>
      </c>
    </row>
  </sheetData>
  <sortState xmlns:xlrd2="http://schemas.microsoft.com/office/spreadsheetml/2017/richdata2" ref="A11:N46">
    <sortCondition descending="1" ref="K11:K46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18" sqref="N18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8" x14ac:dyDescent="0.3">
      <c r="E2" s="31" t="s">
        <v>31</v>
      </c>
      <c r="F2" s="31"/>
      <c r="G2" s="11">
        <f>COUNTA(B11:B52)</f>
        <v>19</v>
      </c>
    </row>
    <row r="3" spans="1:18" x14ac:dyDescent="0.3">
      <c r="B3" s="2"/>
      <c r="E3" s="31" t="s">
        <v>33</v>
      </c>
      <c r="F3" s="31"/>
      <c r="G3" s="11">
        <f>COUNTA(E8:N8)</f>
        <v>5</v>
      </c>
    </row>
    <row r="4" spans="1:18" x14ac:dyDescent="0.3">
      <c r="B4" s="2"/>
      <c r="C4" s="3"/>
    </row>
    <row r="6" spans="1:18" x14ac:dyDescent="0.3">
      <c r="D6" s="1" t="s">
        <v>0</v>
      </c>
      <c r="E6" s="26" t="s">
        <v>269</v>
      </c>
      <c r="F6" s="26"/>
      <c r="G6" s="26" t="s">
        <v>26</v>
      </c>
      <c r="H6" s="26"/>
      <c r="I6" s="26" t="s">
        <v>15</v>
      </c>
      <c r="J6" s="26"/>
      <c r="K6" s="26" t="s">
        <v>270</v>
      </c>
      <c r="L6" s="26"/>
      <c r="M6" s="26" t="s">
        <v>271</v>
      </c>
      <c r="N6" s="26"/>
    </row>
    <row r="7" spans="1:18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  <c r="K7" s="23">
        <v>2</v>
      </c>
      <c r="L7" s="24"/>
      <c r="M7" s="23">
        <v>2</v>
      </c>
      <c r="N7" s="24"/>
    </row>
    <row r="8" spans="1:18" x14ac:dyDescent="0.3">
      <c r="D8" s="1" t="s">
        <v>1</v>
      </c>
      <c r="E8" s="29">
        <v>45578</v>
      </c>
      <c r="F8" s="29"/>
      <c r="G8" s="36">
        <v>45607</v>
      </c>
      <c r="H8" s="37"/>
      <c r="I8" s="36">
        <v>45612</v>
      </c>
      <c r="J8" s="37"/>
      <c r="K8" s="29">
        <v>45683</v>
      </c>
      <c r="L8" s="29"/>
      <c r="M8" s="29">
        <v>45774</v>
      </c>
      <c r="N8" s="29"/>
    </row>
    <row r="9" spans="1:18" x14ac:dyDescent="0.3">
      <c r="D9" s="1" t="s">
        <v>2</v>
      </c>
      <c r="E9" s="26">
        <v>8</v>
      </c>
      <c r="F9" s="26"/>
      <c r="G9" s="23">
        <v>7</v>
      </c>
      <c r="H9" s="24"/>
      <c r="I9" s="23">
        <v>24</v>
      </c>
      <c r="J9" s="24"/>
      <c r="K9" s="26">
        <v>18</v>
      </c>
      <c r="L9" s="26"/>
      <c r="M9" s="26">
        <v>11</v>
      </c>
      <c r="N9" s="26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34</v>
      </c>
      <c r="Q10" s="1" t="s">
        <v>9</v>
      </c>
      <c r="R10" s="1" t="s">
        <v>36</v>
      </c>
    </row>
    <row r="11" spans="1:18" x14ac:dyDescent="0.3">
      <c r="A11" s="5">
        <f t="shared" ref="A11:A29" si="0">Q11</f>
        <v>1</v>
      </c>
      <c r="B11" s="6" t="s">
        <v>130</v>
      </c>
      <c r="C11" s="6" t="s">
        <v>100</v>
      </c>
      <c r="D11" s="6" t="s">
        <v>129</v>
      </c>
      <c r="E11" s="6">
        <v>1</v>
      </c>
      <c r="F11" s="7">
        <f t="shared" ref="F11:F29" si="1">IF(E11=0,,($E$9-E11)*$E$7*100/$E$9)</f>
        <v>175</v>
      </c>
      <c r="G11" s="6">
        <v>1</v>
      </c>
      <c r="H11" s="7">
        <f t="shared" ref="H11:H18" si="2">IF(G11=0,,($G$9-G11)*$G$7*100/$G$9)</f>
        <v>171.42857142857142</v>
      </c>
      <c r="I11" s="6"/>
      <c r="J11" s="7">
        <f t="shared" ref="J11:J29" si="3">IF(I11=0,,($I$9-I11)*$I$7*100/$I$9)</f>
        <v>0</v>
      </c>
      <c r="K11" s="6">
        <v>1</v>
      </c>
      <c r="L11" s="7">
        <f t="shared" ref="L11:L28" si="4">IF(K11=0,,($K$9-K11)*$K$7*100/$K$9)</f>
        <v>188.88888888888889</v>
      </c>
      <c r="M11" s="6">
        <v>1</v>
      </c>
      <c r="N11" s="7">
        <f t="shared" ref="N11:N16" si="5">IF(M11=0,,($M$9-M11)*$M$7*100/$M$9)</f>
        <v>181.81818181818181</v>
      </c>
      <c r="O11" s="8">
        <f t="shared" ref="O11:O29" si="6">F11+H11+J11+L11+N11</f>
        <v>717.13564213564223</v>
      </c>
      <c r="P11" s="6">
        <f t="shared" ref="P11:P29" si="7">COUNTA(E11,G11,I11,K11,M11)</f>
        <v>4</v>
      </c>
      <c r="Q11" s="6">
        <f t="shared" ref="Q11:Q29" si="8">ROW(B11)-10</f>
        <v>1</v>
      </c>
      <c r="R11" s="13">
        <f t="shared" ref="R11:R29" si="9">P11/$G$3</f>
        <v>0.8</v>
      </c>
    </row>
    <row r="12" spans="1:18" x14ac:dyDescent="0.3">
      <c r="A12" s="5">
        <f t="shared" si="0"/>
        <v>2</v>
      </c>
      <c r="B12" s="6" t="s">
        <v>288</v>
      </c>
      <c r="C12" s="6" t="s">
        <v>131</v>
      </c>
      <c r="D12" s="6" t="s">
        <v>65</v>
      </c>
      <c r="E12" s="6">
        <v>3</v>
      </c>
      <c r="F12" s="7">
        <f t="shared" si="1"/>
        <v>125</v>
      </c>
      <c r="G12" s="6"/>
      <c r="H12" s="7">
        <f t="shared" si="2"/>
        <v>0</v>
      </c>
      <c r="I12" s="6">
        <v>14</v>
      </c>
      <c r="J12" s="7">
        <f t="shared" si="3"/>
        <v>83.333333333333329</v>
      </c>
      <c r="K12" s="6">
        <v>3</v>
      </c>
      <c r="L12" s="7">
        <f t="shared" si="4"/>
        <v>166.66666666666666</v>
      </c>
      <c r="M12" s="6">
        <v>3</v>
      </c>
      <c r="N12" s="7">
        <f t="shared" si="5"/>
        <v>145.45454545454547</v>
      </c>
      <c r="O12" s="8">
        <f t="shared" si="6"/>
        <v>520.4545454545455</v>
      </c>
      <c r="P12" s="6">
        <f t="shared" si="7"/>
        <v>4</v>
      </c>
      <c r="Q12" s="6">
        <f t="shared" si="8"/>
        <v>2</v>
      </c>
      <c r="R12" s="13">
        <f t="shared" si="9"/>
        <v>0.8</v>
      </c>
    </row>
    <row r="13" spans="1:18" x14ac:dyDescent="0.3">
      <c r="A13" s="5">
        <f t="shared" si="0"/>
        <v>3</v>
      </c>
      <c r="B13" s="6" t="s">
        <v>357</v>
      </c>
      <c r="C13" s="6" t="s">
        <v>358</v>
      </c>
      <c r="D13" s="6" t="s">
        <v>72</v>
      </c>
      <c r="E13" s="6"/>
      <c r="F13" s="7">
        <f t="shared" si="1"/>
        <v>0</v>
      </c>
      <c r="G13" s="6">
        <v>2</v>
      </c>
      <c r="H13" s="7">
        <f t="shared" si="2"/>
        <v>142.85714285714286</v>
      </c>
      <c r="I13" s="6">
        <v>9</v>
      </c>
      <c r="J13" s="7">
        <f t="shared" si="3"/>
        <v>125</v>
      </c>
      <c r="K13" s="6">
        <v>7</v>
      </c>
      <c r="L13" s="7">
        <f t="shared" si="4"/>
        <v>122.22222222222223</v>
      </c>
      <c r="M13" s="6">
        <v>6</v>
      </c>
      <c r="N13" s="7">
        <f t="shared" si="5"/>
        <v>90.909090909090907</v>
      </c>
      <c r="O13" s="8">
        <f t="shared" si="6"/>
        <v>480.98845598845605</v>
      </c>
      <c r="P13" s="6">
        <f t="shared" si="7"/>
        <v>4</v>
      </c>
      <c r="Q13" s="6">
        <f t="shared" si="8"/>
        <v>3</v>
      </c>
      <c r="R13" s="13">
        <f t="shared" si="9"/>
        <v>0.8</v>
      </c>
    </row>
    <row r="14" spans="1:18" x14ac:dyDescent="0.3">
      <c r="A14" s="5">
        <f t="shared" si="0"/>
        <v>4</v>
      </c>
      <c r="B14" s="6" t="s">
        <v>286</v>
      </c>
      <c r="C14" s="6" t="s">
        <v>287</v>
      </c>
      <c r="D14" s="6" t="s">
        <v>89</v>
      </c>
      <c r="E14" s="6">
        <v>2</v>
      </c>
      <c r="F14" s="7">
        <f t="shared" si="1"/>
        <v>150</v>
      </c>
      <c r="G14" s="6"/>
      <c r="H14" s="7">
        <f t="shared" si="2"/>
        <v>0</v>
      </c>
      <c r="I14" s="6"/>
      <c r="J14" s="7">
        <f t="shared" si="3"/>
        <v>0</v>
      </c>
      <c r="K14" s="6">
        <v>6</v>
      </c>
      <c r="L14" s="7">
        <f t="shared" si="4"/>
        <v>133.33333333333334</v>
      </c>
      <c r="M14" s="6">
        <v>3</v>
      </c>
      <c r="N14" s="7">
        <f t="shared" si="5"/>
        <v>145.45454545454547</v>
      </c>
      <c r="O14" s="8">
        <f t="shared" si="6"/>
        <v>428.78787878787887</v>
      </c>
      <c r="P14" s="6">
        <f t="shared" si="7"/>
        <v>3</v>
      </c>
      <c r="Q14" s="6">
        <f t="shared" si="8"/>
        <v>4</v>
      </c>
      <c r="R14" s="13">
        <f t="shared" si="9"/>
        <v>0.6</v>
      </c>
    </row>
    <row r="15" spans="1:18" x14ac:dyDescent="0.3">
      <c r="A15" s="5">
        <f t="shared" si="0"/>
        <v>5</v>
      </c>
      <c r="B15" s="6" t="s">
        <v>359</v>
      </c>
      <c r="C15" s="6" t="s">
        <v>360</v>
      </c>
      <c r="D15" s="6" t="s">
        <v>361</v>
      </c>
      <c r="E15" s="6"/>
      <c r="F15" s="7">
        <f t="shared" si="1"/>
        <v>0</v>
      </c>
      <c r="G15" s="6">
        <v>3</v>
      </c>
      <c r="H15" s="7">
        <f t="shared" si="2"/>
        <v>114.28571428571429</v>
      </c>
      <c r="I15" s="6"/>
      <c r="J15" s="7">
        <f t="shared" si="3"/>
        <v>0</v>
      </c>
      <c r="K15" s="6">
        <v>8</v>
      </c>
      <c r="L15" s="7">
        <f t="shared" si="4"/>
        <v>111.11111111111111</v>
      </c>
      <c r="M15" s="6">
        <v>2</v>
      </c>
      <c r="N15" s="7">
        <f t="shared" si="5"/>
        <v>163.63636363636363</v>
      </c>
      <c r="O15" s="8">
        <f t="shared" si="6"/>
        <v>389.03318903318905</v>
      </c>
      <c r="P15" s="6">
        <f t="shared" si="7"/>
        <v>3</v>
      </c>
      <c r="Q15" s="6">
        <f t="shared" si="8"/>
        <v>5</v>
      </c>
      <c r="R15" s="13">
        <f t="shared" si="9"/>
        <v>0.6</v>
      </c>
    </row>
    <row r="16" spans="1:18" x14ac:dyDescent="0.3">
      <c r="A16" s="5">
        <f t="shared" si="0"/>
        <v>6</v>
      </c>
      <c r="B16" s="6" t="s">
        <v>153</v>
      </c>
      <c r="C16" s="6" t="s">
        <v>149</v>
      </c>
      <c r="D16" s="6" t="s">
        <v>72</v>
      </c>
      <c r="E16" s="6">
        <v>3</v>
      </c>
      <c r="F16" s="7">
        <f t="shared" si="1"/>
        <v>125</v>
      </c>
      <c r="G16" s="6"/>
      <c r="H16" s="7">
        <f t="shared" si="2"/>
        <v>0</v>
      </c>
      <c r="I16" s="6">
        <v>21</v>
      </c>
      <c r="J16" s="7">
        <f t="shared" si="3"/>
        <v>25</v>
      </c>
      <c r="K16" s="6">
        <v>9</v>
      </c>
      <c r="L16" s="7">
        <f t="shared" si="4"/>
        <v>100</v>
      </c>
      <c r="M16" s="6">
        <v>8</v>
      </c>
      <c r="N16" s="7">
        <f t="shared" si="5"/>
        <v>54.545454545454547</v>
      </c>
      <c r="O16" s="8">
        <f t="shared" si="6"/>
        <v>304.54545454545456</v>
      </c>
      <c r="P16" s="6">
        <f t="shared" si="7"/>
        <v>4</v>
      </c>
      <c r="Q16" s="6">
        <f t="shared" si="8"/>
        <v>6</v>
      </c>
      <c r="R16" s="13">
        <f t="shared" si="9"/>
        <v>0.8</v>
      </c>
    </row>
    <row r="17" spans="1:18" x14ac:dyDescent="0.3">
      <c r="A17" s="5">
        <f t="shared" si="0"/>
        <v>7</v>
      </c>
      <c r="B17" s="6" t="s">
        <v>150</v>
      </c>
      <c r="C17" s="6" t="s">
        <v>146</v>
      </c>
      <c r="D17" s="6" t="s">
        <v>72</v>
      </c>
      <c r="E17" s="6">
        <v>7</v>
      </c>
      <c r="F17" s="7">
        <f t="shared" si="1"/>
        <v>25</v>
      </c>
      <c r="G17" s="6">
        <v>6</v>
      </c>
      <c r="H17" s="7">
        <f t="shared" si="2"/>
        <v>28.571428571428573</v>
      </c>
      <c r="I17" s="6"/>
      <c r="J17" s="7">
        <f t="shared" si="3"/>
        <v>0</v>
      </c>
      <c r="K17" s="6">
        <v>2</v>
      </c>
      <c r="L17" s="7">
        <f t="shared" si="4"/>
        <v>177.77777777777777</v>
      </c>
      <c r="M17" s="6">
        <v>11</v>
      </c>
      <c r="N17" s="7">
        <v>9</v>
      </c>
      <c r="O17" s="8">
        <f t="shared" si="6"/>
        <v>240.34920634920633</v>
      </c>
      <c r="P17" s="6">
        <f t="shared" si="7"/>
        <v>4</v>
      </c>
      <c r="Q17" s="6">
        <f t="shared" si="8"/>
        <v>7</v>
      </c>
      <c r="R17" s="13">
        <f t="shared" si="9"/>
        <v>0.8</v>
      </c>
    </row>
    <row r="18" spans="1:18" x14ac:dyDescent="0.3">
      <c r="A18" s="5">
        <f t="shared" si="0"/>
        <v>8</v>
      </c>
      <c r="B18" s="6" t="s">
        <v>201</v>
      </c>
      <c r="C18" s="6" t="s">
        <v>289</v>
      </c>
      <c r="D18" s="6" t="s">
        <v>72</v>
      </c>
      <c r="E18" s="6">
        <v>5</v>
      </c>
      <c r="F18" s="7">
        <f t="shared" si="1"/>
        <v>75</v>
      </c>
      <c r="G18" s="6"/>
      <c r="H18" s="7">
        <f t="shared" si="2"/>
        <v>0</v>
      </c>
      <c r="I18" s="6"/>
      <c r="J18" s="7">
        <f t="shared" si="3"/>
        <v>0</v>
      </c>
      <c r="K18" s="6">
        <v>5</v>
      </c>
      <c r="L18" s="7">
        <f t="shared" si="4"/>
        <v>144.44444444444446</v>
      </c>
      <c r="M18" s="6"/>
      <c r="N18" s="7">
        <f t="shared" ref="N18:N29" si="10">IF(M18=0,,($M$9-M18)*$M$7*100/$M$9)</f>
        <v>0</v>
      </c>
      <c r="O18" s="8">
        <f t="shared" si="6"/>
        <v>219.44444444444446</v>
      </c>
      <c r="P18" s="6">
        <f t="shared" si="7"/>
        <v>2</v>
      </c>
      <c r="Q18" s="6">
        <f t="shared" si="8"/>
        <v>8</v>
      </c>
      <c r="R18" s="13">
        <f t="shared" si="9"/>
        <v>0.4</v>
      </c>
    </row>
    <row r="19" spans="1:18" x14ac:dyDescent="0.3">
      <c r="A19" s="5">
        <f t="shared" si="0"/>
        <v>9</v>
      </c>
      <c r="B19" s="6" t="s">
        <v>366</v>
      </c>
      <c r="C19" s="6" t="s">
        <v>367</v>
      </c>
      <c r="D19" s="6" t="s">
        <v>129</v>
      </c>
      <c r="E19" s="6"/>
      <c r="F19" s="7">
        <f t="shared" si="1"/>
        <v>0</v>
      </c>
      <c r="G19" s="6">
        <v>7</v>
      </c>
      <c r="H19" s="7">
        <f>29/2</f>
        <v>14.5</v>
      </c>
      <c r="I19" s="6"/>
      <c r="J19" s="7">
        <f t="shared" si="3"/>
        <v>0</v>
      </c>
      <c r="K19" s="6">
        <v>10</v>
      </c>
      <c r="L19" s="7">
        <f t="shared" si="4"/>
        <v>88.888888888888886</v>
      </c>
      <c r="M19" s="6">
        <v>5</v>
      </c>
      <c r="N19" s="7">
        <f t="shared" si="10"/>
        <v>109.09090909090909</v>
      </c>
      <c r="O19" s="8">
        <f t="shared" si="6"/>
        <v>212.47979797979798</v>
      </c>
      <c r="P19" s="6">
        <f t="shared" si="7"/>
        <v>3</v>
      </c>
      <c r="Q19" s="6">
        <f t="shared" si="8"/>
        <v>9</v>
      </c>
      <c r="R19" s="13">
        <f t="shared" si="9"/>
        <v>0.6</v>
      </c>
    </row>
    <row r="20" spans="1:18" x14ac:dyDescent="0.3">
      <c r="A20" s="5">
        <f t="shared" si="0"/>
        <v>10</v>
      </c>
      <c r="B20" s="6" t="s">
        <v>492</v>
      </c>
      <c r="C20" s="6" t="s">
        <v>493</v>
      </c>
      <c r="D20" s="6"/>
      <c r="E20" s="6"/>
      <c r="F20" s="7">
        <f t="shared" si="1"/>
        <v>0</v>
      </c>
      <c r="G20" s="6"/>
      <c r="H20" s="7">
        <f t="shared" ref="H20:H29" si="11">IF(G20=0,,($G$9-G20)*$G$7*100/$G$9)</f>
        <v>0</v>
      </c>
      <c r="I20" s="6"/>
      <c r="J20" s="7">
        <f t="shared" si="3"/>
        <v>0</v>
      </c>
      <c r="K20" s="6">
        <v>3</v>
      </c>
      <c r="L20" s="7">
        <f t="shared" si="4"/>
        <v>166.66666666666666</v>
      </c>
      <c r="M20" s="6">
        <v>9</v>
      </c>
      <c r="N20" s="7">
        <f t="shared" si="10"/>
        <v>36.363636363636367</v>
      </c>
      <c r="O20" s="8">
        <f t="shared" si="6"/>
        <v>203.03030303030303</v>
      </c>
      <c r="P20" s="6">
        <f t="shared" si="7"/>
        <v>2</v>
      </c>
      <c r="Q20" s="6">
        <f t="shared" si="8"/>
        <v>10</v>
      </c>
      <c r="R20" s="13">
        <f t="shared" si="9"/>
        <v>0.4</v>
      </c>
    </row>
    <row r="21" spans="1:18" x14ac:dyDescent="0.3">
      <c r="A21" s="5">
        <f t="shared" si="0"/>
        <v>11</v>
      </c>
      <c r="B21" s="6" t="s">
        <v>362</v>
      </c>
      <c r="C21" s="6" t="s">
        <v>363</v>
      </c>
      <c r="D21" s="6" t="s">
        <v>221</v>
      </c>
      <c r="E21" s="6"/>
      <c r="F21" s="7">
        <f t="shared" si="1"/>
        <v>0</v>
      </c>
      <c r="G21" s="6">
        <v>3</v>
      </c>
      <c r="H21" s="7">
        <f t="shared" si="11"/>
        <v>114.28571428571429</v>
      </c>
      <c r="I21" s="6"/>
      <c r="J21" s="7">
        <f t="shared" si="3"/>
        <v>0</v>
      </c>
      <c r="K21" s="6">
        <v>11</v>
      </c>
      <c r="L21" s="7">
        <f t="shared" si="4"/>
        <v>77.777777777777771</v>
      </c>
      <c r="M21" s="6"/>
      <c r="N21" s="7">
        <f t="shared" si="10"/>
        <v>0</v>
      </c>
      <c r="O21" s="8">
        <f t="shared" si="6"/>
        <v>192.06349206349205</v>
      </c>
      <c r="P21" s="6">
        <f t="shared" si="7"/>
        <v>2</v>
      </c>
      <c r="Q21" s="6">
        <f t="shared" si="8"/>
        <v>11</v>
      </c>
      <c r="R21" s="13">
        <f t="shared" si="9"/>
        <v>0.4</v>
      </c>
    </row>
    <row r="22" spans="1:18" x14ac:dyDescent="0.3">
      <c r="A22" s="5">
        <f t="shared" si="0"/>
        <v>12</v>
      </c>
      <c r="B22" s="6" t="s">
        <v>290</v>
      </c>
      <c r="C22" s="6" t="s">
        <v>132</v>
      </c>
      <c r="D22" s="6" t="s">
        <v>89</v>
      </c>
      <c r="E22" s="6">
        <v>7</v>
      </c>
      <c r="F22" s="7">
        <f t="shared" si="1"/>
        <v>25</v>
      </c>
      <c r="G22" s="6"/>
      <c r="H22" s="7">
        <f t="shared" si="11"/>
        <v>0</v>
      </c>
      <c r="I22" s="6"/>
      <c r="J22" s="7">
        <f t="shared" si="3"/>
        <v>0</v>
      </c>
      <c r="K22" s="6">
        <v>16</v>
      </c>
      <c r="L22" s="7">
        <f t="shared" si="4"/>
        <v>22.222222222222221</v>
      </c>
      <c r="M22" s="6">
        <v>7</v>
      </c>
      <c r="N22" s="7">
        <f t="shared" si="10"/>
        <v>72.727272727272734</v>
      </c>
      <c r="O22" s="8">
        <f t="shared" si="6"/>
        <v>119.94949494949495</v>
      </c>
      <c r="P22" s="6">
        <f t="shared" si="7"/>
        <v>3</v>
      </c>
      <c r="Q22" s="6">
        <f t="shared" si="8"/>
        <v>12</v>
      </c>
      <c r="R22" s="13">
        <f t="shared" si="9"/>
        <v>0.6</v>
      </c>
    </row>
    <row r="23" spans="1:18" x14ac:dyDescent="0.3">
      <c r="A23" s="5">
        <f t="shared" si="0"/>
        <v>13</v>
      </c>
      <c r="B23" s="6" t="s">
        <v>364</v>
      </c>
      <c r="C23" s="6" t="s">
        <v>365</v>
      </c>
      <c r="D23" s="6" t="s">
        <v>129</v>
      </c>
      <c r="E23" s="6"/>
      <c r="F23" s="7">
        <f t="shared" si="1"/>
        <v>0</v>
      </c>
      <c r="G23" s="6">
        <v>5</v>
      </c>
      <c r="H23" s="7">
        <f t="shared" si="11"/>
        <v>57.142857142857146</v>
      </c>
      <c r="I23" s="6"/>
      <c r="J23" s="7">
        <f t="shared" si="3"/>
        <v>0</v>
      </c>
      <c r="K23" s="6">
        <v>14</v>
      </c>
      <c r="L23" s="7">
        <f t="shared" si="4"/>
        <v>44.444444444444443</v>
      </c>
      <c r="M23" s="6"/>
      <c r="N23" s="7">
        <f t="shared" si="10"/>
        <v>0</v>
      </c>
      <c r="O23" s="8">
        <f t="shared" si="6"/>
        <v>101.5873015873016</v>
      </c>
      <c r="P23" s="6">
        <f t="shared" si="7"/>
        <v>2</v>
      </c>
      <c r="Q23" s="6">
        <f t="shared" si="8"/>
        <v>13</v>
      </c>
      <c r="R23" s="13">
        <f t="shared" si="9"/>
        <v>0.4</v>
      </c>
    </row>
    <row r="24" spans="1:18" x14ac:dyDescent="0.3">
      <c r="A24" s="5">
        <f t="shared" si="0"/>
        <v>14</v>
      </c>
      <c r="B24" s="6" t="s">
        <v>152</v>
      </c>
      <c r="C24" s="6" t="s">
        <v>148</v>
      </c>
      <c r="D24" s="6" t="s">
        <v>72</v>
      </c>
      <c r="E24" s="6">
        <v>6</v>
      </c>
      <c r="F24" s="7">
        <f t="shared" si="1"/>
        <v>50</v>
      </c>
      <c r="G24" s="6"/>
      <c r="H24" s="7">
        <f t="shared" si="11"/>
        <v>0</v>
      </c>
      <c r="I24" s="6"/>
      <c r="J24" s="7">
        <f t="shared" si="3"/>
        <v>0</v>
      </c>
      <c r="K24" s="6"/>
      <c r="L24" s="7">
        <f t="shared" si="4"/>
        <v>0</v>
      </c>
      <c r="M24" s="6">
        <v>10</v>
      </c>
      <c r="N24" s="7">
        <f t="shared" si="10"/>
        <v>18.181818181818183</v>
      </c>
      <c r="O24" s="8">
        <f t="shared" si="6"/>
        <v>68.181818181818187</v>
      </c>
      <c r="P24" s="6">
        <f t="shared" si="7"/>
        <v>2</v>
      </c>
      <c r="Q24" s="6">
        <f t="shared" si="8"/>
        <v>14</v>
      </c>
      <c r="R24" s="13">
        <f t="shared" si="9"/>
        <v>0.4</v>
      </c>
    </row>
    <row r="25" spans="1:18" x14ac:dyDescent="0.3">
      <c r="A25" s="5">
        <f t="shared" si="0"/>
        <v>15</v>
      </c>
      <c r="B25" s="6" t="s">
        <v>494</v>
      </c>
      <c r="C25" s="6" t="s">
        <v>495</v>
      </c>
      <c r="D25" s="6"/>
      <c r="E25" s="6"/>
      <c r="F25" s="7">
        <f t="shared" si="1"/>
        <v>0</v>
      </c>
      <c r="G25" s="6"/>
      <c r="H25" s="7">
        <f t="shared" si="11"/>
        <v>0</v>
      </c>
      <c r="I25" s="6"/>
      <c r="J25" s="7">
        <f t="shared" si="3"/>
        <v>0</v>
      </c>
      <c r="K25" s="6">
        <v>12</v>
      </c>
      <c r="L25" s="7">
        <f t="shared" si="4"/>
        <v>66.666666666666671</v>
      </c>
      <c r="M25" s="6"/>
      <c r="N25" s="7">
        <f t="shared" si="10"/>
        <v>0</v>
      </c>
      <c r="O25" s="8">
        <f t="shared" si="6"/>
        <v>66.666666666666671</v>
      </c>
      <c r="P25" s="6">
        <f t="shared" si="7"/>
        <v>1</v>
      </c>
      <c r="Q25" s="6">
        <f t="shared" si="8"/>
        <v>15</v>
      </c>
      <c r="R25" s="13">
        <f t="shared" si="9"/>
        <v>0.2</v>
      </c>
    </row>
    <row r="26" spans="1:18" x14ac:dyDescent="0.3">
      <c r="A26" s="6">
        <f t="shared" si="0"/>
        <v>16</v>
      </c>
      <c r="B26" s="6" t="s">
        <v>496</v>
      </c>
      <c r="C26" s="6" t="s">
        <v>419</v>
      </c>
      <c r="D26" s="6"/>
      <c r="E26" s="6"/>
      <c r="F26" s="7">
        <f t="shared" si="1"/>
        <v>0</v>
      </c>
      <c r="G26" s="6"/>
      <c r="H26" s="7">
        <f t="shared" si="11"/>
        <v>0</v>
      </c>
      <c r="I26" s="6"/>
      <c r="J26" s="7">
        <f t="shared" si="3"/>
        <v>0</v>
      </c>
      <c r="K26" s="6">
        <v>13</v>
      </c>
      <c r="L26" s="7">
        <f t="shared" si="4"/>
        <v>55.555555555555557</v>
      </c>
      <c r="M26" s="6"/>
      <c r="N26" s="7">
        <f t="shared" si="10"/>
        <v>0</v>
      </c>
      <c r="O26" s="8">
        <f t="shared" si="6"/>
        <v>55.555555555555557</v>
      </c>
      <c r="P26" s="6">
        <f t="shared" si="7"/>
        <v>1</v>
      </c>
      <c r="Q26" s="6">
        <f t="shared" si="8"/>
        <v>16</v>
      </c>
      <c r="R26" s="13">
        <f t="shared" si="9"/>
        <v>0.2</v>
      </c>
    </row>
    <row r="27" spans="1:18" x14ac:dyDescent="0.3">
      <c r="A27" s="5">
        <f t="shared" si="0"/>
        <v>17</v>
      </c>
      <c r="B27" s="6" t="s">
        <v>497</v>
      </c>
      <c r="C27" s="15" t="s">
        <v>498</v>
      </c>
      <c r="D27" s="6"/>
      <c r="E27" s="6"/>
      <c r="F27" s="7">
        <f t="shared" si="1"/>
        <v>0</v>
      </c>
      <c r="G27" s="6"/>
      <c r="H27" s="7">
        <f t="shared" si="11"/>
        <v>0</v>
      </c>
      <c r="I27" s="6"/>
      <c r="J27" s="7">
        <f t="shared" si="3"/>
        <v>0</v>
      </c>
      <c r="K27" s="6">
        <v>15</v>
      </c>
      <c r="L27" s="7">
        <f t="shared" si="4"/>
        <v>33.333333333333336</v>
      </c>
      <c r="M27" s="6"/>
      <c r="N27" s="7">
        <f t="shared" si="10"/>
        <v>0</v>
      </c>
      <c r="O27" s="8">
        <f t="shared" si="6"/>
        <v>33.333333333333336</v>
      </c>
      <c r="P27" s="6">
        <f t="shared" si="7"/>
        <v>1</v>
      </c>
      <c r="Q27" s="6">
        <f t="shared" si="8"/>
        <v>17</v>
      </c>
      <c r="R27" s="13">
        <f t="shared" si="9"/>
        <v>0.2</v>
      </c>
    </row>
    <row r="28" spans="1:18" x14ac:dyDescent="0.3">
      <c r="A28" s="5">
        <f t="shared" si="0"/>
        <v>18</v>
      </c>
      <c r="B28" s="6" t="s">
        <v>328</v>
      </c>
      <c r="C28" s="6" t="s">
        <v>499</v>
      </c>
      <c r="D28" s="6"/>
      <c r="E28" s="6"/>
      <c r="F28" s="7">
        <f t="shared" si="1"/>
        <v>0</v>
      </c>
      <c r="G28" s="6"/>
      <c r="H28" s="7">
        <f t="shared" si="11"/>
        <v>0</v>
      </c>
      <c r="I28" s="6"/>
      <c r="J28" s="7">
        <f t="shared" si="3"/>
        <v>0</v>
      </c>
      <c r="K28" s="6">
        <v>17</v>
      </c>
      <c r="L28" s="7">
        <f t="shared" si="4"/>
        <v>11.111111111111111</v>
      </c>
      <c r="M28" s="6"/>
      <c r="N28" s="7">
        <f t="shared" si="10"/>
        <v>0</v>
      </c>
      <c r="O28" s="8">
        <f t="shared" si="6"/>
        <v>11.111111111111111</v>
      </c>
      <c r="P28" s="6">
        <f t="shared" si="7"/>
        <v>1</v>
      </c>
      <c r="Q28" s="6">
        <f t="shared" si="8"/>
        <v>18</v>
      </c>
      <c r="R28" s="13">
        <f t="shared" si="9"/>
        <v>0.2</v>
      </c>
    </row>
    <row r="29" spans="1:18" x14ac:dyDescent="0.3">
      <c r="A29" s="6">
        <f t="shared" si="0"/>
        <v>19</v>
      </c>
      <c r="B29" s="6" t="s">
        <v>500</v>
      </c>
      <c r="C29" s="6" t="s">
        <v>501</v>
      </c>
      <c r="D29" s="6"/>
      <c r="E29" s="6"/>
      <c r="F29" s="7">
        <f t="shared" si="1"/>
        <v>0</v>
      </c>
      <c r="G29" s="6"/>
      <c r="H29" s="7">
        <f t="shared" si="11"/>
        <v>0</v>
      </c>
      <c r="I29" s="6"/>
      <c r="J29" s="7">
        <f t="shared" si="3"/>
        <v>0</v>
      </c>
      <c r="K29" s="6">
        <v>18</v>
      </c>
      <c r="L29" s="7">
        <f>11/2</f>
        <v>5.5</v>
      </c>
      <c r="M29" s="6"/>
      <c r="N29" s="7">
        <f t="shared" si="10"/>
        <v>0</v>
      </c>
      <c r="O29" s="8">
        <f t="shared" si="6"/>
        <v>5.5</v>
      </c>
      <c r="P29" s="6">
        <f t="shared" si="7"/>
        <v>1</v>
      </c>
      <c r="Q29" s="6">
        <f t="shared" si="8"/>
        <v>19</v>
      </c>
      <c r="R29" s="13">
        <f t="shared" si="9"/>
        <v>0.2</v>
      </c>
    </row>
    <row r="30" spans="1:18" x14ac:dyDescent="0.3">
      <c r="A30" s="5">
        <f t="shared" ref="A30:A52" si="12">Q30</f>
        <v>20</v>
      </c>
      <c r="B30" s="6"/>
      <c r="C30" s="6"/>
      <c r="D30" s="6"/>
      <c r="E30" s="6"/>
      <c r="F30" s="7">
        <f t="shared" ref="F30:F52" si="13">IF(E30=0,,($E$9-E30)*$E$7*100/$E$9)</f>
        <v>0</v>
      </c>
      <c r="G30" s="6"/>
      <c r="H30" s="7">
        <f t="shared" ref="H30:H52" si="14">IF(G30=0,,($G$9-G30)*$G$7*100/$G$9)</f>
        <v>0</v>
      </c>
      <c r="I30" s="6"/>
      <c r="J30" s="7">
        <f t="shared" ref="J30:J52" si="15">IF(I30=0,,($I$9-I30)*$I$7*100/$I$9)</f>
        <v>0</v>
      </c>
      <c r="K30" s="6"/>
      <c r="L30" s="7">
        <f t="shared" ref="L30:L36" si="16">IF(K30=0,,($K$9-K30)*$K$7*100/$K$9)</f>
        <v>0</v>
      </c>
      <c r="M30" s="6"/>
      <c r="N30" s="7">
        <f t="shared" ref="N30:N48" si="17">IF(M30=0,,($M$9-M30)*$M$7*100/$M$9)</f>
        <v>0</v>
      </c>
      <c r="O30" s="8">
        <f t="shared" ref="O30:O52" si="18">F30+H30+J30+L30+N30</f>
        <v>0</v>
      </c>
      <c r="P30" s="6">
        <f t="shared" ref="P30:P52" si="19">COUNTA(E30,G30,I30,K30,M30)</f>
        <v>0</v>
      </c>
      <c r="Q30" s="6">
        <f t="shared" ref="Q30:Q52" si="20">ROW(B30)-10</f>
        <v>20</v>
      </c>
      <c r="R30" s="13">
        <f t="shared" ref="R30:R52" si="21">P30/$G$3</f>
        <v>0</v>
      </c>
    </row>
    <row r="31" spans="1:18" x14ac:dyDescent="0.3">
      <c r="A31" s="5">
        <f t="shared" si="12"/>
        <v>21</v>
      </c>
      <c r="B31" s="6"/>
      <c r="C31" s="6"/>
      <c r="D31" s="6"/>
      <c r="E31" s="6"/>
      <c r="F31" s="7">
        <f t="shared" si="13"/>
        <v>0</v>
      </c>
      <c r="G31" s="6"/>
      <c r="H31" s="7">
        <f t="shared" si="14"/>
        <v>0</v>
      </c>
      <c r="I31" s="6"/>
      <c r="J31" s="7">
        <f t="shared" si="15"/>
        <v>0</v>
      </c>
      <c r="K31" s="6"/>
      <c r="L31" s="7">
        <f t="shared" si="16"/>
        <v>0</v>
      </c>
      <c r="M31" s="6"/>
      <c r="N31" s="7">
        <f t="shared" si="17"/>
        <v>0</v>
      </c>
      <c r="O31" s="8">
        <f t="shared" si="18"/>
        <v>0</v>
      </c>
      <c r="P31" s="6">
        <f t="shared" si="19"/>
        <v>0</v>
      </c>
      <c r="Q31" s="6">
        <f t="shared" si="20"/>
        <v>21</v>
      </c>
      <c r="R31" s="13">
        <f t="shared" si="21"/>
        <v>0</v>
      </c>
    </row>
    <row r="32" spans="1:18" x14ac:dyDescent="0.3">
      <c r="A32" s="5">
        <f t="shared" si="12"/>
        <v>22</v>
      </c>
      <c r="B32" s="6"/>
      <c r="C32" s="6"/>
      <c r="D32" s="6"/>
      <c r="E32" s="6"/>
      <c r="F32" s="7">
        <f t="shared" si="13"/>
        <v>0</v>
      </c>
      <c r="G32" s="6"/>
      <c r="H32" s="7">
        <f t="shared" si="14"/>
        <v>0</v>
      </c>
      <c r="I32" s="6"/>
      <c r="J32" s="7">
        <f t="shared" si="15"/>
        <v>0</v>
      </c>
      <c r="K32" s="6"/>
      <c r="L32" s="7">
        <f t="shared" si="16"/>
        <v>0</v>
      </c>
      <c r="M32" s="6"/>
      <c r="N32" s="7">
        <f t="shared" si="17"/>
        <v>0</v>
      </c>
      <c r="O32" s="8">
        <f t="shared" si="18"/>
        <v>0</v>
      </c>
      <c r="P32" s="6">
        <f t="shared" si="19"/>
        <v>0</v>
      </c>
      <c r="Q32" s="6">
        <f t="shared" si="20"/>
        <v>22</v>
      </c>
      <c r="R32" s="13">
        <f t="shared" si="21"/>
        <v>0</v>
      </c>
    </row>
    <row r="33" spans="1:18" x14ac:dyDescent="0.3">
      <c r="A33" s="5">
        <f t="shared" si="12"/>
        <v>23</v>
      </c>
      <c r="B33" s="6"/>
      <c r="C33" s="6"/>
      <c r="D33" s="6"/>
      <c r="E33" s="6"/>
      <c r="F33" s="7">
        <f t="shared" si="13"/>
        <v>0</v>
      </c>
      <c r="G33" s="6"/>
      <c r="H33" s="7">
        <f t="shared" si="14"/>
        <v>0</v>
      </c>
      <c r="I33" s="6"/>
      <c r="J33" s="7">
        <f t="shared" si="15"/>
        <v>0</v>
      </c>
      <c r="K33" s="6"/>
      <c r="L33" s="7">
        <f t="shared" si="16"/>
        <v>0</v>
      </c>
      <c r="M33" s="6"/>
      <c r="N33" s="7">
        <f t="shared" si="17"/>
        <v>0</v>
      </c>
      <c r="O33" s="8">
        <f t="shared" si="18"/>
        <v>0</v>
      </c>
      <c r="P33" s="6">
        <f t="shared" si="19"/>
        <v>0</v>
      </c>
      <c r="Q33" s="6">
        <f t="shared" si="20"/>
        <v>23</v>
      </c>
      <c r="R33" s="13">
        <f t="shared" si="21"/>
        <v>0</v>
      </c>
    </row>
    <row r="34" spans="1:18" x14ac:dyDescent="0.3">
      <c r="A34" s="5">
        <f t="shared" si="12"/>
        <v>24</v>
      </c>
      <c r="B34" s="6"/>
      <c r="C34" s="6"/>
      <c r="D34" s="6"/>
      <c r="E34" s="6"/>
      <c r="F34" s="7">
        <f t="shared" si="13"/>
        <v>0</v>
      </c>
      <c r="G34" s="6"/>
      <c r="H34" s="7">
        <f t="shared" si="14"/>
        <v>0</v>
      </c>
      <c r="I34" s="6"/>
      <c r="J34" s="7">
        <f t="shared" si="15"/>
        <v>0</v>
      </c>
      <c r="K34" s="6"/>
      <c r="L34" s="7">
        <f t="shared" si="16"/>
        <v>0</v>
      </c>
      <c r="M34" s="6"/>
      <c r="N34" s="7">
        <f t="shared" si="17"/>
        <v>0</v>
      </c>
      <c r="O34" s="8">
        <f t="shared" si="18"/>
        <v>0</v>
      </c>
      <c r="P34" s="6">
        <f t="shared" si="19"/>
        <v>0</v>
      </c>
      <c r="Q34" s="6">
        <f t="shared" si="20"/>
        <v>24</v>
      </c>
      <c r="R34" s="13">
        <f t="shared" si="21"/>
        <v>0</v>
      </c>
    </row>
    <row r="35" spans="1:18" x14ac:dyDescent="0.3">
      <c r="A35" s="5">
        <f t="shared" si="12"/>
        <v>25</v>
      </c>
      <c r="B35" s="6"/>
      <c r="C35" s="6"/>
      <c r="D35" s="6"/>
      <c r="E35" s="6"/>
      <c r="F35" s="7">
        <f t="shared" si="13"/>
        <v>0</v>
      </c>
      <c r="G35" s="6"/>
      <c r="H35" s="7">
        <f t="shared" si="14"/>
        <v>0</v>
      </c>
      <c r="I35" s="6"/>
      <c r="J35" s="7">
        <f t="shared" si="15"/>
        <v>0</v>
      </c>
      <c r="K35" s="6"/>
      <c r="L35" s="7">
        <f t="shared" si="16"/>
        <v>0</v>
      </c>
      <c r="M35" s="6"/>
      <c r="N35" s="7">
        <f t="shared" si="17"/>
        <v>0</v>
      </c>
      <c r="O35" s="8">
        <f t="shared" si="18"/>
        <v>0</v>
      </c>
      <c r="P35" s="6">
        <f t="shared" si="19"/>
        <v>0</v>
      </c>
      <c r="Q35" s="6">
        <f t="shared" si="20"/>
        <v>25</v>
      </c>
      <c r="R35" s="13">
        <f t="shared" si="21"/>
        <v>0</v>
      </c>
    </row>
    <row r="36" spans="1:18" x14ac:dyDescent="0.3">
      <c r="A36" s="5">
        <f t="shared" si="12"/>
        <v>26</v>
      </c>
      <c r="B36" s="6"/>
      <c r="C36" s="6"/>
      <c r="D36" s="6"/>
      <c r="E36" s="6"/>
      <c r="F36" s="7">
        <f t="shared" si="13"/>
        <v>0</v>
      </c>
      <c r="G36" s="6"/>
      <c r="H36" s="7">
        <f t="shared" si="14"/>
        <v>0</v>
      </c>
      <c r="I36" s="6"/>
      <c r="J36" s="7">
        <f t="shared" si="15"/>
        <v>0</v>
      </c>
      <c r="K36" s="6"/>
      <c r="L36" s="7">
        <f t="shared" si="16"/>
        <v>0</v>
      </c>
      <c r="M36" s="6"/>
      <c r="N36" s="7">
        <f t="shared" si="17"/>
        <v>0</v>
      </c>
      <c r="O36" s="8">
        <f t="shared" si="18"/>
        <v>0</v>
      </c>
      <c r="P36" s="6">
        <f t="shared" si="19"/>
        <v>0</v>
      </c>
      <c r="Q36" s="6">
        <f t="shared" si="20"/>
        <v>26</v>
      </c>
      <c r="R36" s="13">
        <f t="shared" si="21"/>
        <v>0</v>
      </c>
    </row>
    <row r="37" spans="1:18" x14ac:dyDescent="0.3">
      <c r="A37" s="5">
        <f t="shared" si="12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si="14"/>
        <v>0</v>
      </c>
      <c r="I37" s="6"/>
      <c r="J37" s="7">
        <f t="shared" si="15"/>
        <v>0</v>
      </c>
      <c r="K37" s="6"/>
      <c r="L37" s="7">
        <f t="shared" ref="L37:L52" si="22">IF(K37=0,,($K$9-K37)*$K$7*100/$K$9)</f>
        <v>0</v>
      </c>
      <c r="M37" s="6"/>
      <c r="N37" s="7">
        <f t="shared" si="17"/>
        <v>0</v>
      </c>
      <c r="O37" s="8">
        <f t="shared" si="18"/>
        <v>0</v>
      </c>
      <c r="P37" s="6">
        <f t="shared" si="19"/>
        <v>0</v>
      </c>
      <c r="Q37" s="6">
        <f t="shared" si="20"/>
        <v>27</v>
      </c>
      <c r="R37" s="13">
        <f t="shared" si="21"/>
        <v>0</v>
      </c>
    </row>
    <row r="38" spans="1:18" x14ac:dyDescent="0.3">
      <c r="A38" s="5">
        <f t="shared" si="12"/>
        <v>28</v>
      </c>
      <c r="B38" s="6"/>
      <c r="C38" s="6"/>
      <c r="D38" s="6"/>
      <c r="E38" s="6"/>
      <c r="F38" s="7">
        <f t="shared" si="13"/>
        <v>0</v>
      </c>
      <c r="G38" s="6"/>
      <c r="H38" s="7">
        <f t="shared" si="14"/>
        <v>0</v>
      </c>
      <c r="I38" s="6"/>
      <c r="J38" s="7">
        <f t="shared" si="15"/>
        <v>0</v>
      </c>
      <c r="K38" s="6"/>
      <c r="L38" s="7">
        <f t="shared" si="22"/>
        <v>0</v>
      </c>
      <c r="M38" s="6"/>
      <c r="N38" s="7">
        <f t="shared" si="17"/>
        <v>0</v>
      </c>
      <c r="O38" s="8">
        <f t="shared" si="18"/>
        <v>0</v>
      </c>
      <c r="P38" s="6">
        <f t="shared" si="19"/>
        <v>0</v>
      </c>
      <c r="Q38" s="6">
        <f t="shared" si="20"/>
        <v>28</v>
      </c>
      <c r="R38" s="13">
        <f t="shared" si="21"/>
        <v>0</v>
      </c>
    </row>
    <row r="39" spans="1:18" x14ac:dyDescent="0.3">
      <c r="A39" s="5">
        <f t="shared" si="12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5"/>
        <v>0</v>
      </c>
      <c r="K39" s="6"/>
      <c r="L39" s="7">
        <f t="shared" si="22"/>
        <v>0</v>
      </c>
      <c r="M39" s="6"/>
      <c r="N39" s="7">
        <f t="shared" si="17"/>
        <v>0</v>
      </c>
      <c r="O39" s="8">
        <f t="shared" si="18"/>
        <v>0</v>
      </c>
      <c r="P39" s="6">
        <f t="shared" si="19"/>
        <v>0</v>
      </c>
      <c r="Q39" s="6">
        <f t="shared" si="20"/>
        <v>29</v>
      </c>
      <c r="R39" s="13">
        <f t="shared" si="21"/>
        <v>0</v>
      </c>
    </row>
    <row r="40" spans="1:18" x14ac:dyDescent="0.3">
      <c r="A40" s="5">
        <f t="shared" si="12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5"/>
        <v>0</v>
      </c>
      <c r="K40" s="6"/>
      <c r="L40" s="7">
        <f t="shared" si="22"/>
        <v>0</v>
      </c>
      <c r="M40" s="6"/>
      <c r="N40" s="7">
        <f t="shared" si="17"/>
        <v>0</v>
      </c>
      <c r="O40" s="8">
        <f t="shared" si="18"/>
        <v>0</v>
      </c>
      <c r="P40" s="6">
        <f t="shared" si="19"/>
        <v>0</v>
      </c>
      <c r="Q40" s="6">
        <f t="shared" si="20"/>
        <v>30</v>
      </c>
      <c r="R40" s="13">
        <f t="shared" si="21"/>
        <v>0</v>
      </c>
    </row>
    <row r="41" spans="1:18" x14ac:dyDescent="0.3">
      <c r="A41" s="5">
        <f t="shared" si="12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5"/>
        <v>0</v>
      </c>
      <c r="K41" s="6"/>
      <c r="L41" s="7">
        <f t="shared" si="22"/>
        <v>0</v>
      </c>
      <c r="M41" s="6"/>
      <c r="N41" s="7">
        <f t="shared" si="17"/>
        <v>0</v>
      </c>
      <c r="O41" s="8">
        <f t="shared" si="18"/>
        <v>0</v>
      </c>
      <c r="P41" s="6">
        <f t="shared" si="19"/>
        <v>0</v>
      </c>
      <c r="Q41" s="6">
        <f t="shared" si="20"/>
        <v>31</v>
      </c>
      <c r="R41" s="13">
        <f t="shared" si="21"/>
        <v>0</v>
      </c>
    </row>
    <row r="42" spans="1:18" x14ac:dyDescent="0.3">
      <c r="A42" s="5">
        <f t="shared" si="12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5"/>
        <v>0</v>
      </c>
      <c r="K42" s="6"/>
      <c r="L42" s="7">
        <f t="shared" si="22"/>
        <v>0</v>
      </c>
      <c r="M42" s="6"/>
      <c r="N42" s="7">
        <f t="shared" si="17"/>
        <v>0</v>
      </c>
      <c r="O42" s="8">
        <f t="shared" si="18"/>
        <v>0</v>
      </c>
      <c r="P42" s="6">
        <f t="shared" si="19"/>
        <v>0</v>
      </c>
      <c r="Q42" s="6">
        <f t="shared" si="20"/>
        <v>32</v>
      </c>
      <c r="R42" s="13">
        <f t="shared" si="21"/>
        <v>0</v>
      </c>
    </row>
    <row r="43" spans="1:18" x14ac:dyDescent="0.3">
      <c r="A43" s="5">
        <f t="shared" si="12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5"/>
        <v>0</v>
      </c>
      <c r="K43" s="6"/>
      <c r="L43" s="7">
        <f t="shared" si="22"/>
        <v>0</v>
      </c>
      <c r="M43" s="6"/>
      <c r="N43" s="7">
        <f t="shared" si="17"/>
        <v>0</v>
      </c>
      <c r="O43" s="8">
        <f t="shared" si="18"/>
        <v>0</v>
      </c>
      <c r="P43" s="6">
        <f t="shared" si="19"/>
        <v>0</v>
      </c>
      <c r="Q43" s="6">
        <f t="shared" si="20"/>
        <v>33</v>
      </c>
      <c r="R43" s="13">
        <f t="shared" si="21"/>
        <v>0</v>
      </c>
    </row>
    <row r="44" spans="1:18" x14ac:dyDescent="0.3">
      <c r="A44" s="5">
        <f t="shared" si="12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5"/>
        <v>0</v>
      </c>
      <c r="K44" s="6"/>
      <c r="L44" s="7">
        <f t="shared" si="22"/>
        <v>0</v>
      </c>
      <c r="M44" s="6"/>
      <c r="N44" s="7">
        <f t="shared" si="17"/>
        <v>0</v>
      </c>
      <c r="O44" s="8">
        <f t="shared" si="18"/>
        <v>0</v>
      </c>
      <c r="P44" s="6">
        <f t="shared" si="19"/>
        <v>0</v>
      </c>
      <c r="Q44" s="6">
        <f t="shared" si="20"/>
        <v>34</v>
      </c>
      <c r="R44" s="13">
        <f t="shared" si="21"/>
        <v>0</v>
      </c>
    </row>
    <row r="45" spans="1:18" x14ac:dyDescent="0.3">
      <c r="A45" s="5">
        <f t="shared" si="12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5"/>
        <v>0</v>
      </c>
      <c r="K45" s="6"/>
      <c r="L45" s="7">
        <f t="shared" si="22"/>
        <v>0</v>
      </c>
      <c r="M45" s="6"/>
      <c r="N45" s="7">
        <f t="shared" si="17"/>
        <v>0</v>
      </c>
      <c r="O45" s="8">
        <f t="shared" si="18"/>
        <v>0</v>
      </c>
      <c r="P45" s="6">
        <f t="shared" si="19"/>
        <v>0</v>
      </c>
      <c r="Q45" s="6">
        <f t="shared" si="20"/>
        <v>35</v>
      </c>
      <c r="R45" s="13">
        <f t="shared" si="21"/>
        <v>0</v>
      </c>
    </row>
    <row r="46" spans="1:18" x14ac:dyDescent="0.3">
      <c r="A46" s="5">
        <f t="shared" si="12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5"/>
        <v>0</v>
      </c>
      <c r="K46" s="6"/>
      <c r="L46" s="7">
        <f t="shared" si="22"/>
        <v>0</v>
      </c>
      <c r="M46" s="6"/>
      <c r="N46" s="7">
        <f t="shared" si="17"/>
        <v>0</v>
      </c>
      <c r="O46" s="8">
        <f t="shared" si="18"/>
        <v>0</v>
      </c>
      <c r="P46" s="6">
        <f t="shared" si="19"/>
        <v>0</v>
      </c>
      <c r="Q46" s="6">
        <f t="shared" si="20"/>
        <v>36</v>
      </c>
      <c r="R46" s="13">
        <f t="shared" si="21"/>
        <v>0</v>
      </c>
    </row>
    <row r="47" spans="1:18" x14ac:dyDescent="0.3">
      <c r="A47" s="5">
        <f t="shared" si="12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5"/>
        <v>0</v>
      </c>
      <c r="K47" s="6"/>
      <c r="L47" s="7">
        <f t="shared" si="22"/>
        <v>0</v>
      </c>
      <c r="M47" s="6"/>
      <c r="N47" s="7">
        <f t="shared" si="17"/>
        <v>0</v>
      </c>
      <c r="O47" s="8">
        <f t="shared" si="18"/>
        <v>0</v>
      </c>
      <c r="P47" s="6">
        <f t="shared" si="19"/>
        <v>0</v>
      </c>
      <c r="Q47" s="6">
        <f t="shared" si="20"/>
        <v>37</v>
      </c>
      <c r="R47" s="13">
        <f t="shared" si="21"/>
        <v>0</v>
      </c>
    </row>
    <row r="48" spans="1:18" x14ac:dyDescent="0.3">
      <c r="A48" s="5">
        <f t="shared" si="12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5"/>
        <v>0</v>
      </c>
      <c r="K48" s="6"/>
      <c r="L48" s="7">
        <f t="shared" si="22"/>
        <v>0</v>
      </c>
      <c r="M48" s="6"/>
      <c r="N48" s="7">
        <f t="shared" si="17"/>
        <v>0</v>
      </c>
      <c r="O48" s="8">
        <f t="shared" si="18"/>
        <v>0</v>
      </c>
      <c r="P48" s="6">
        <f t="shared" si="19"/>
        <v>0</v>
      </c>
      <c r="Q48" s="6">
        <f t="shared" si="20"/>
        <v>38</v>
      </c>
      <c r="R48" s="13">
        <f t="shared" si="21"/>
        <v>0</v>
      </c>
    </row>
    <row r="49" spans="1:18" x14ac:dyDescent="0.3">
      <c r="A49" s="5">
        <f t="shared" si="12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 t="shared" si="15"/>
        <v>0</v>
      </c>
      <c r="K49" s="6"/>
      <c r="L49" s="7">
        <f t="shared" si="22"/>
        <v>0</v>
      </c>
      <c r="M49" s="6"/>
      <c r="N49" s="7">
        <f>7/2</f>
        <v>3.5</v>
      </c>
      <c r="O49" s="8">
        <f t="shared" si="18"/>
        <v>3.5</v>
      </c>
      <c r="P49" s="6">
        <f t="shared" si="19"/>
        <v>0</v>
      </c>
      <c r="Q49" s="6">
        <f t="shared" si="20"/>
        <v>39</v>
      </c>
      <c r="R49" s="13">
        <f t="shared" si="21"/>
        <v>0</v>
      </c>
    </row>
    <row r="50" spans="1:18" x14ac:dyDescent="0.3">
      <c r="A50" s="5">
        <f t="shared" si="12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 t="shared" si="15"/>
        <v>0</v>
      </c>
      <c r="K50" s="6"/>
      <c r="L50" s="7">
        <f t="shared" si="22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9"/>
        <v>0</v>
      </c>
      <c r="Q50" s="6">
        <f t="shared" si="20"/>
        <v>40</v>
      </c>
      <c r="R50" s="13">
        <f t="shared" si="21"/>
        <v>0</v>
      </c>
    </row>
    <row r="51" spans="1:18" x14ac:dyDescent="0.3">
      <c r="A51" s="5">
        <f t="shared" si="12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 t="shared" si="15"/>
        <v>0</v>
      </c>
      <c r="K51" s="6"/>
      <c r="L51" s="7">
        <f t="shared" si="22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9"/>
        <v>0</v>
      </c>
      <c r="Q51" s="6">
        <f t="shared" si="20"/>
        <v>41</v>
      </c>
      <c r="R51" s="13">
        <f t="shared" si="21"/>
        <v>0</v>
      </c>
    </row>
    <row r="52" spans="1:18" x14ac:dyDescent="0.3">
      <c r="A52" s="5">
        <f t="shared" si="12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 t="shared" si="15"/>
        <v>0</v>
      </c>
      <c r="K52" s="6"/>
      <c r="L52" s="7">
        <f t="shared" si="22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9"/>
        <v>0</v>
      </c>
      <c r="Q52" s="6">
        <f t="shared" si="20"/>
        <v>42</v>
      </c>
      <c r="R52" s="13">
        <f t="shared" si="21"/>
        <v>0</v>
      </c>
    </row>
    <row r="53" spans="1:18" x14ac:dyDescent="0.3">
      <c r="A53" s="27" t="s">
        <v>237</v>
      </c>
      <c r="B53" s="27"/>
      <c r="C53" s="28"/>
      <c r="E53">
        <f>COUNTA(E11:E52)</f>
        <v>8</v>
      </c>
      <c r="G53">
        <f>COUNTA(G11:G52)</f>
        <v>7</v>
      </c>
      <c r="I53">
        <f>COUNTA(I11:I52)</f>
        <v>3</v>
      </c>
      <c r="K53">
        <f>COUNTA(K11:K52)</f>
        <v>18</v>
      </c>
      <c r="M53">
        <f>COUNTA(M11:M52)</f>
        <v>11</v>
      </c>
    </row>
    <row r="54" spans="1:18" x14ac:dyDescent="0.3">
      <c r="A54" s="30" t="s">
        <v>35</v>
      </c>
      <c r="B54" s="30"/>
      <c r="C54" s="30"/>
      <c r="E54" s="12">
        <f>E53/$G$2</f>
        <v>0.42105263157894735</v>
      </c>
      <c r="G54" s="12">
        <f>G53/$G$2</f>
        <v>0.36842105263157893</v>
      </c>
      <c r="I54" s="12">
        <f>I53/$G$2</f>
        <v>0.15789473684210525</v>
      </c>
      <c r="K54" s="12">
        <f>K53/$G$2</f>
        <v>0.94736842105263153</v>
      </c>
      <c r="M54" s="12">
        <f>M53/$G$2</f>
        <v>0.57894736842105265</v>
      </c>
    </row>
  </sheetData>
  <sortState xmlns:xlrd2="http://schemas.microsoft.com/office/spreadsheetml/2017/richdata2" ref="A11:R29">
    <sortCondition descending="1" ref="O11:O29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C13" sqref="C13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3">
      <c r="E2" s="31" t="s">
        <v>31</v>
      </c>
      <c r="F2" s="31"/>
      <c r="G2" s="11">
        <f>COUNTA(B11:B52)</f>
        <v>19</v>
      </c>
    </row>
    <row r="3" spans="1:15" x14ac:dyDescent="0.3">
      <c r="B3" s="2"/>
      <c r="E3" s="31" t="s">
        <v>33</v>
      </c>
      <c r="F3" s="31"/>
      <c r="G3" s="11">
        <f>COUNTA(E8:J8)</f>
        <v>3</v>
      </c>
    </row>
    <row r="4" spans="1:15" x14ac:dyDescent="0.3">
      <c r="B4" s="2"/>
      <c r="C4" s="3"/>
    </row>
    <row r="6" spans="1:15" x14ac:dyDescent="0.3">
      <c r="D6" s="1" t="s">
        <v>0</v>
      </c>
      <c r="E6" s="26" t="s">
        <v>269</v>
      </c>
      <c r="F6" s="26"/>
      <c r="G6" s="26" t="s">
        <v>270</v>
      </c>
      <c r="H6" s="26"/>
      <c r="I6" s="26" t="s">
        <v>271</v>
      </c>
      <c r="J6" s="26"/>
    </row>
    <row r="7" spans="1:15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</row>
    <row r="8" spans="1:15" x14ac:dyDescent="0.3">
      <c r="D8" s="1" t="s">
        <v>1</v>
      </c>
      <c r="E8" s="29">
        <v>45578</v>
      </c>
      <c r="F8" s="29"/>
      <c r="G8" s="29">
        <v>45683</v>
      </c>
      <c r="H8" s="29"/>
      <c r="I8" s="29">
        <v>45774</v>
      </c>
      <c r="J8" s="29"/>
    </row>
    <row r="9" spans="1:15" x14ac:dyDescent="0.3">
      <c r="D9" s="1" t="s">
        <v>2</v>
      </c>
      <c r="E9" s="26">
        <v>8</v>
      </c>
      <c r="F9" s="26"/>
      <c r="G9" s="26">
        <v>18</v>
      </c>
      <c r="H9" s="26"/>
      <c r="I9" s="26">
        <v>11</v>
      </c>
      <c r="J9" s="26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34</v>
      </c>
      <c r="M10" s="1" t="s">
        <v>9</v>
      </c>
      <c r="N10" s="1" t="s">
        <v>36</v>
      </c>
    </row>
    <row r="11" spans="1:15" x14ac:dyDescent="0.3">
      <c r="A11" s="5">
        <f t="shared" ref="A11:A29" si="0">M11</f>
        <v>1</v>
      </c>
      <c r="B11" s="6" t="s">
        <v>130</v>
      </c>
      <c r="C11" s="6" t="s">
        <v>100</v>
      </c>
      <c r="D11" s="6" t="s">
        <v>129</v>
      </c>
      <c r="E11" s="6">
        <v>1</v>
      </c>
      <c r="F11" s="7">
        <f t="shared" ref="F11:F29" si="1">IF(E11=0,,($E$9-E11)*$E$7*100/$E$9)</f>
        <v>175</v>
      </c>
      <c r="G11" s="6">
        <v>1</v>
      </c>
      <c r="H11" s="7">
        <f t="shared" ref="H11:H28" si="2">IF(G11=0,,($G$9-G11)*$G$7*100/$G$9)</f>
        <v>188.88888888888889</v>
      </c>
      <c r="I11" s="6">
        <v>1</v>
      </c>
      <c r="J11" s="7">
        <f t="shared" ref="J11:J17" si="3">IF(I11=0,,($I$9-I11)*$I$7*100/$I$9)</f>
        <v>181.81818181818181</v>
      </c>
      <c r="K11" s="8">
        <f t="shared" ref="K11:K29" si="4">F11+H11+J11</f>
        <v>545.70707070707067</v>
      </c>
      <c r="L11" s="6">
        <f>COUNTA(E11,#REF!,#REF!,G11,I11)</f>
        <v>5</v>
      </c>
      <c r="M11" s="6">
        <f t="shared" ref="M11:M52" si="5">ROW(B11)-10</f>
        <v>1</v>
      </c>
      <c r="N11" s="13">
        <f t="shared" ref="N11:N29" si="6">L11/$G$3</f>
        <v>1.6666666666666667</v>
      </c>
    </row>
    <row r="12" spans="1:15" x14ac:dyDescent="0.3">
      <c r="A12" s="5">
        <f t="shared" si="0"/>
        <v>2</v>
      </c>
      <c r="B12" s="6" t="s">
        <v>288</v>
      </c>
      <c r="C12" s="6" t="s">
        <v>131</v>
      </c>
      <c r="D12" s="6" t="s">
        <v>65</v>
      </c>
      <c r="E12" s="6">
        <v>3</v>
      </c>
      <c r="F12" s="7">
        <f t="shared" si="1"/>
        <v>125</v>
      </c>
      <c r="G12" s="6">
        <v>3</v>
      </c>
      <c r="H12" s="7">
        <f t="shared" si="2"/>
        <v>166.66666666666666</v>
      </c>
      <c r="I12" s="6">
        <v>3</v>
      </c>
      <c r="J12" s="7">
        <f t="shared" si="3"/>
        <v>145.45454545454547</v>
      </c>
      <c r="K12" s="8">
        <f t="shared" si="4"/>
        <v>437.12121212121212</v>
      </c>
      <c r="L12" s="6">
        <f>COUNTA(E12,#REF!,#REF!,G12,I12)</f>
        <v>5</v>
      </c>
      <c r="M12" s="6">
        <f t="shared" si="5"/>
        <v>2</v>
      </c>
      <c r="N12" s="13">
        <f t="shared" si="6"/>
        <v>1.6666666666666667</v>
      </c>
    </row>
    <row r="13" spans="1:15" x14ac:dyDescent="0.3">
      <c r="A13" s="5">
        <f t="shared" si="0"/>
        <v>3</v>
      </c>
      <c r="B13" s="6" t="s">
        <v>286</v>
      </c>
      <c r="C13" s="6" t="s">
        <v>287</v>
      </c>
      <c r="D13" s="6" t="s">
        <v>89</v>
      </c>
      <c r="E13" s="6">
        <v>2</v>
      </c>
      <c r="F13" s="7">
        <f t="shared" si="1"/>
        <v>150</v>
      </c>
      <c r="G13" s="6">
        <v>6</v>
      </c>
      <c r="H13" s="7">
        <f t="shared" si="2"/>
        <v>133.33333333333334</v>
      </c>
      <c r="I13" s="6">
        <v>3</v>
      </c>
      <c r="J13" s="7">
        <f t="shared" si="3"/>
        <v>145.45454545454547</v>
      </c>
      <c r="K13" s="8">
        <f t="shared" si="4"/>
        <v>428.78787878787887</v>
      </c>
      <c r="L13" s="6">
        <f>COUNTA(E13,#REF!,#REF!,G13,I13)</f>
        <v>5</v>
      </c>
      <c r="M13" s="6">
        <f t="shared" si="5"/>
        <v>3</v>
      </c>
      <c r="N13" s="13">
        <f t="shared" si="6"/>
        <v>1.6666666666666667</v>
      </c>
    </row>
    <row r="14" spans="1:15" x14ac:dyDescent="0.3">
      <c r="A14" s="5">
        <f t="shared" si="0"/>
        <v>4</v>
      </c>
      <c r="B14" s="6" t="s">
        <v>153</v>
      </c>
      <c r="C14" s="6" t="s">
        <v>149</v>
      </c>
      <c r="D14" s="6" t="s">
        <v>72</v>
      </c>
      <c r="E14" s="6">
        <v>3</v>
      </c>
      <c r="F14" s="7">
        <f t="shared" si="1"/>
        <v>125</v>
      </c>
      <c r="G14" s="6">
        <v>9</v>
      </c>
      <c r="H14" s="7">
        <f t="shared" si="2"/>
        <v>100</v>
      </c>
      <c r="I14" s="6">
        <v>8</v>
      </c>
      <c r="J14" s="7">
        <f t="shared" si="3"/>
        <v>54.545454545454547</v>
      </c>
      <c r="K14" s="8">
        <f t="shared" si="4"/>
        <v>279.54545454545456</v>
      </c>
      <c r="L14" s="6">
        <f>COUNTA(E14,#REF!,#REF!,G14,I14)</f>
        <v>5</v>
      </c>
      <c r="M14" s="6">
        <f t="shared" si="5"/>
        <v>4</v>
      </c>
      <c r="N14" s="13">
        <f t="shared" si="6"/>
        <v>1.6666666666666667</v>
      </c>
    </row>
    <row r="15" spans="1:15" x14ac:dyDescent="0.3">
      <c r="A15" s="5">
        <f t="shared" si="0"/>
        <v>5</v>
      </c>
      <c r="B15" s="6" t="s">
        <v>359</v>
      </c>
      <c r="C15" s="6" t="s">
        <v>360</v>
      </c>
      <c r="D15" s="6" t="s">
        <v>361</v>
      </c>
      <c r="E15" s="6"/>
      <c r="F15" s="7">
        <f t="shared" si="1"/>
        <v>0</v>
      </c>
      <c r="G15" s="6">
        <v>8</v>
      </c>
      <c r="H15" s="7">
        <f t="shared" si="2"/>
        <v>111.11111111111111</v>
      </c>
      <c r="I15" s="6">
        <v>2</v>
      </c>
      <c r="J15" s="7">
        <f t="shared" si="3"/>
        <v>163.63636363636363</v>
      </c>
      <c r="K15" s="8">
        <f t="shared" si="4"/>
        <v>274.74747474747471</v>
      </c>
      <c r="L15" s="6">
        <f>COUNTA(E15,#REF!,#REF!,G15,I15)</f>
        <v>4</v>
      </c>
      <c r="M15" s="6">
        <f t="shared" si="5"/>
        <v>5</v>
      </c>
      <c r="N15" s="13">
        <f t="shared" si="6"/>
        <v>1.3333333333333333</v>
      </c>
    </row>
    <row r="16" spans="1:15" x14ac:dyDescent="0.3">
      <c r="A16" s="5">
        <f t="shared" si="0"/>
        <v>6</v>
      </c>
      <c r="B16" s="6" t="s">
        <v>201</v>
      </c>
      <c r="C16" s="6" t="s">
        <v>289</v>
      </c>
      <c r="D16" s="6" t="s">
        <v>72</v>
      </c>
      <c r="E16" s="6">
        <v>5</v>
      </c>
      <c r="F16" s="7">
        <f t="shared" si="1"/>
        <v>75</v>
      </c>
      <c r="G16" s="6">
        <v>5</v>
      </c>
      <c r="H16" s="7">
        <f t="shared" si="2"/>
        <v>144.44444444444446</v>
      </c>
      <c r="I16" s="6"/>
      <c r="J16" s="7">
        <f t="shared" si="3"/>
        <v>0</v>
      </c>
      <c r="K16" s="8">
        <f t="shared" si="4"/>
        <v>219.44444444444446</v>
      </c>
      <c r="L16" s="6">
        <f>COUNTA(E16,#REF!,#REF!,G16,I16)</f>
        <v>4</v>
      </c>
      <c r="M16" s="6">
        <f t="shared" si="5"/>
        <v>6</v>
      </c>
      <c r="N16" s="13">
        <f t="shared" si="6"/>
        <v>1.3333333333333333</v>
      </c>
    </row>
    <row r="17" spans="1:14" x14ac:dyDescent="0.3">
      <c r="A17" s="5">
        <f t="shared" si="0"/>
        <v>7</v>
      </c>
      <c r="B17" s="6" t="s">
        <v>357</v>
      </c>
      <c r="C17" s="6" t="s">
        <v>358</v>
      </c>
      <c r="D17" s="6" t="s">
        <v>72</v>
      </c>
      <c r="E17" s="6"/>
      <c r="F17" s="7">
        <f t="shared" si="1"/>
        <v>0</v>
      </c>
      <c r="G17" s="6">
        <v>7</v>
      </c>
      <c r="H17" s="7">
        <f t="shared" si="2"/>
        <v>122.22222222222223</v>
      </c>
      <c r="I17" s="6">
        <v>6</v>
      </c>
      <c r="J17" s="7">
        <f t="shared" si="3"/>
        <v>90.909090909090907</v>
      </c>
      <c r="K17" s="8">
        <f t="shared" si="4"/>
        <v>213.13131313131314</v>
      </c>
      <c r="L17" s="6">
        <f>COUNTA(E17,#REF!,#REF!,G17,I17)</f>
        <v>4</v>
      </c>
      <c r="M17" s="6">
        <f t="shared" si="5"/>
        <v>7</v>
      </c>
      <c r="N17" s="13">
        <f t="shared" si="6"/>
        <v>1.3333333333333333</v>
      </c>
    </row>
    <row r="18" spans="1:14" x14ac:dyDescent="0.3">
      <c r="A18" s="5">
        <f t="shared" si="0"/>
        <v>8</v>
      </c>
      <c r="B18" s="6" t="s">
        <v>150</v>
      </c>
      <c r="C18" s="6" t="s">
        <v>146</v>
      </c>
      <c r="D18" s="6" t="s">
        <v>72</v>
      </c>
      <c r="E18" s="6">
        <v>7</v>
      </c>
      <c r="F18" s="7">
        <f t="shared" si="1"/>
        <v>25</v>
      </c>
      <c r="G18" s="6">
        <v>2</v>
      </c>
      <c r="H18" s="7">
        <f t="shared" si="2"/>
        <v>177.77777777777777</v>
      </c>
      <c r="I18" s="6">
        <v>11</v>
      </c>
      <c r="J18" s="7">
        <v>9</v>
      </c>
      <c r="K18" s="8">
        <f t="shared" si="4"/>
        <v>211.77777777777777</v>
      </c>
      <c r="L18" s="6">
        <f>COUNTA(E18,#REF!,#REF!,G18,I18)</f>
        <v>5</v>
      </c>
      <c r="M18" s="6">
        <f t="shared" si="5"/>
        <v>8</v>
      </c>
      <c r="N18" s="13">
        <f t="shared" si="6"/>
        <v>1.6666666666666667</v>
      </c>
    </row>
    <row r="19" spans="1:14" x14ac:dyDescent="0.3">
      <c r="A19" s="5">
        <f t="shared" si="0"/>
        <v>9</v>
      </c>
      <c r="B19" s="6" t="s">
        <v>492</v>
      </c>
      <c r="C19" s="6" t="s">
        <v>493</v>
      </c>
      <c r="D19" s="6"/>
      <c r="E19" s="6"/>
      <c r="F19" s="7">
        <f t="shared" si="1"/>
        <v>0</v>
      </c>
      <c r="G19" s="6">
        <v>3</v>
      </c>
      <c r="H19" s="7">
        <f t="shared" si="2"/>
        <v>166.66666666666666</v>
      </c>
      <c r="I19" s="6">
        <v>9</v>
      </c>
      <c r="J19" s="7">
        <f t="shared" ref="J19:J29" si="7">IF(I19=0,,($I$9-I19)*$I$7*100/$I$9)</f>
        <v>36.363636363636367</v>
      </c>
      <c r="K19" s="8">
        <f t="shared" si="4"/>
        <v>203.03030303030303</v>
      </c>
      <c r="L19" s="6">
        <f>COUNTA(E19,#REF!,#REF!,G19,I19)</f>
        <v>4</v>
      </c>
      <c r="M19" s="6">
        <f t="shared" si="5"/>
        <v>9</v>
      </c>
      <c r="N19" s="13">
        <f t="shared" si="6"/>
        <v>1.3333333333333333</v>
      </c>
    </row>
    <row r="20" spans="1:14" x14ac:dyDescent="0.3">
      <c r="A20" s="5">
        <f t="shared" si="0"/>
        <v>10</v>
      </c>
      <c r="B20" s="6" t="s">
        <v>366</v>
      </c>
      <c r="C20" s="6" t="s">
        <v>367</v>
      </c>
      <c r="D20" s="6" t="s">
        <v>129</v>
      </c>
      <c r="E20" s="6"/>
      <c r="F20" s="7">
        <f t="shared" si="1"/>
        <v>0</v>
      </c>
      <c r="G20" s="6">
        <v>10</v>
      </c>
      <c r="H20" s="7">
        <f t="shared" si="2"/>
        <v>88.888888888888886</v>
      </c>
      <c r="I20" s="6">
        <v>5</v>
      </c>
      <c r="J20" s="7">
        <f t="shared" si="7"/>
        <v>109.09090909090909</v>
      </c>
      <c r="K20" s="8">
        <f t="shared" si="4"/>
        <v>197.97979797979798</v>
      </c>
      <c r="L20" s="6">
        <f>COUNTA(E20,#REF!,#REF!,G20,I20)</f>
        <v>4</v>
      </c>
      <c r="M20" s="6">
        <f t="shared" si="5"/>
        <v>10</v>
      </c>
      <c r="N20" s="13">
        <f t="shared" si="6"/>
        <v>1.3333333333333333</v>
      </c>
    </row>
    <row r="21" spans="1:14" x14ac:dyDescent="0.3">
      <c r="A21" s="5">
        <f t="shared" si="0"/>
        <v>11</v>
      </c>
      <c r="B21" s="6" t="s">
        <v>290</v>
      </c>
      <c r="C21" s="6" t="s">
        <v>132</v>
      </c>
      <c r="D21" s="6" t="s">
        <v>89</v>
      </c>
      <c r="E21" s="6">
        <v>7</v>
      </c>
      <c r="F21" s="7">
        <f t="shared" si="1"/>
        <v>25</v>
      </c>
      <c r="G21" s="6">
        <v>16</v>
      </c>
      <c r="H21" s="7">
        <f t="shared" si="2"/>
        <v>22.222222222222221</v>
      </c>
      <c r="I21" s="6">
        <v>7</v>
      </c>
      <c r="J21" s="7">
        <f t="shared" si="7"/>
        <v>72.727272727272734</v>
      </c>
      <c r="K21" s="8">
        <f t="shared" si="4"/>
        <v>119.94949494949495</v>
      </c>
      <c r="L21" s="6">
        <f>COUNTA(E21,#REF!,#REF!,G21,I21)</f>
        <v>5</v>
      </c>
      <c r="M21" s="6">
        <f t="shared" si="5"/>
        <v>11</v>
      </c>
      <c r="N21" s="13">
        <f t="shared" si="6"/>
        <v>1.6666666666666667</v>
      </c>
    </row>
    <row r="22" spans="1:14" x14ac:dyDescent="0.3">
      <c r="A22" s="5">
        <f t="shared" si="0"/>
        <v>12</v>
      </c>
      <c r="B22" s="6" t="s">
        <v>362</v>
      </c>
      <c r="C22" s="6" t="s">
        <v>363</v>
      </c>
      <c r="D22" s="6" t="s">
        <v>221</v>
      </c>
      <c r="E22" s="6"/>
      <c r="F22" s="7">
        <f t="shared" si="1"/>
        <v>0</v>
      </c>
      <c r="G22" s="6">
        <v>11</v>
      </c>
      <c r="H22" s="7">
        <f t="shared" si="2"/>
        <v>77.777777777777771</v>
      </c>
      <c r="I22" s="6"/>
      <c r="J22" s="7">
        <f t="shared" si="7"/>
        <v>0</v>
      </c>
      <c r="K22" s="8">
        <f t="shared" si="4"/>
        <v>77.777777777777771</v>
      </c>
      <c r="L22" s="6">
        <f>COUNTA(E22,#REF!,#REF!,G22,I22)</f>
        <v>3</v>
      </c>
      <c r="M22" s="6">
        <f t="shared" si="5"/>
        <v>12</v>
      </c>
      <c r="N22" s="13">
        <f t="shared" si="6"/>
        <v>1</v>
      </c>
    </row>
    <row r="23" spans="1:14" x14ac:dyDescent="0.3">
      <c r="A23" s="5">
        <f t="shared" si="0"/>
        <v>13</v>
      </c>
      <c r="B23" s="6" t="s">
        <v>152</v>
      </c>
      <c r="C23" s="6" t="s">
        <v>148</v>
      </c>
      <c r="D23" s="6" t="s">
        <v>72</v>
      </c>
      <c r="E23" s="6">
        <v>6</v>
      </c>
      <c r="F23" s="7">
        <f t="shared" si="1"/>
        <v>50</v>
      </c>
      <c r="G23" s="6"/>
      <c r="H23" s="7">
        <f t="shared" si="2"/>
        <v>0</v>
      </c>
      <c r="I23" s="6">
        <v>10</v>
      </c>
      <c r="J23" s="7">
        <f t="shared" si="7"/>
        <v>18.181818181818183</v>
      </c>
      <c r="K23" s="8">
        <f t="shared" si="4"/>
        <v>68.181818181818187</v>
      </c>
      <c r="L23" s="6">
        <f>COUNTA(E23,#REF!,#REF!,G23,I23)</f>
        <v>4</v>
      </c>
      <c r="M23" s="6">
        <f t="shared" si="5"/>
        <v>13</v>
      </c>
      <c r="N23" s="13">
        <f t="shared" si="6"/>
        <v>1.3333333333333333</v>
      </c>
    </row>
    <row r="24" spans="1:14" x14ac:dyDescent="0.3">
      <c r="A24" s="5">
        <f t="shared" si="0"/>
        <v>14</v>
      </c>
      <c r="B24" s="6" t="s">
        <v>494</v>
      </c>
      <c r="C24" s="6" t="s">
        <v>495</v>
      </c>
      <c r="D24" s="6"/>
      <c r="E24" s="6"/>
      <c r="F24" s="7">
        <f t="shared" si="1"/>
        <v>0</v>
      </c>
      <c r="G24" s="6">
        <v>12</v>
      </c>
      <c r="H24" s="7">
        <f t="shared" si="2"/>
        <v>66.666666666666671</v>
      </c>
      <c r="I24" s="6"/>
      <c r="J24" s="7">
        <f t="shared" si="7"/>
        <v>0</v>
      </c>
      <c r="K24" s="8">
        <f t="shared" si="4"/>
        <v>66.666666666666671</v>
      </c>
      <c r="L24" s="6">
        <f>COUNTA(E24,#REF!,#REF!,G24,I24)</f>
        <v>3</v>
      </c>
      <c r="M24" s="6">
        <f t="shared" si="5"/>
        <v>14</v>
      </c>
      <c r="N24" s="13">
        <f t="shared" si="6"/>
        <v>1</v>
      </c>
    </row>
    <row r="25" spans="1:14" x14ac:dyDescent="0.3">
      <c r="A25" s="6">
        <f t="shared" si="0"/>
        <v>15</v>
      </c>
      <c r="B25" s="6" t="s">
        <v>496</v>
      </c>
      <c r="C25" s="6" t="s">
        <v>419</v>
      </c>
      <c r="D25" s="6"/>
      <c r="E25" s="6"/>
      <c r="F25" s="7">
        <f t="shared" si="1"/>
        <v>0</v>
      </c>
      <c r="G25" s="6">
        <v>13</v>
      </c>
      <c r="H25" s="7">
        <f t="shared" si="2"/>
        <v>55.555555555555557</v>
      </c>
      <c r="I25" s="6"/>
      <c r="J25" s="7">
        <f t="shared" si="7"/>
        <v>0</v>
      </c>
      <c r="K25" s="8">
        <f t="shared" si="4"/>
        <v>55.555555555555557</v>
      </c>
      <c r="L25" s="6">
        <f>COUNTA(E25,#REF!,#REF!,G25,I25)</f>
        <v>3</v>
      </c>
      <c r="M25" s="6">
        <f t="shared" si="5"/>
        <v>15</v>
      </c>
      <c r="N25" s="13">
        <f t="shared" si="6"/>
        <v>1</v>
      </c>
    </row>
    <row r="26" spans="1:14" x14ac:dyDescent="0.3">
      <c r="A26" s="5">
        <f t="shared" si="0"/>
        <v>16</v>
      </c>
      <c r="B26" s="6" t="s">
        <v>364</v>
      </c>
      <c r="C26" s="6" t="s">
        <v>365</v>
      </c>
      <c r="D26" s="6" t="s">
        <v>129</v>
      </c>
      <c r="E26" s="6"/>
      <c r="F26" s="7">
        <f t="shared" si="1"/>
        <v>0</v>
      </c>
      <c r="G26" s="6">
        <v>14</v>
      </c>
      <c r="H26" s="7">
        <f t="shared" si="2"/>
        <v>44.444444444444443</v>
      </c>
      <c r="I26" s="6"/>
      <c r="J26" s="7">
        <f t="shared" si="7"/>
        <v>0</v>
      </c>
      <c r="K26" s="8">
        <f t="shared" si="4"/>
        <v>44.444444444444443</v>
      </c>
      <c r="L26" s="6">
        <f>COUNTA(E26,#REF!,#REF!,G26,I26)</f>
        <v>3</v>
      </c>
      <c r="M26" s="6">
        <f t="shared" si="5"/>
        <v>16</v>
      </c>
      <c r="N26" s="13">
        <f t="shared" si="6"/>
        <v>1</v>
      </c>
    </row>
    <row r="27" spans="1:14" x14ac:dyDescent="0.3">
      <c r="A27" s="5">
        <f t="shared" si="0"/>
        <v>17</v>
      </c>
      <c r="B27" s="6" t="s">
        <v>497</v>
      </c>
      <c r="C27" s="15" t="s">
        <v>498</v>
      </c>
      <c r="D27" s="6"/>
      <c r="E27" s="6"/>
      <c r="F27" s="7">
        <f t="shared" si="1"/>
        <v>0</v>
      </c>
      <c r="G27" s="6">
        <v>15</v>
      </c>
      <c r="H27" s="7">
        <f t="shared" si="2"/>
        <v>33.333333333333336</v>
      </c>
      <c r="I27" s="6"/>
      <c r="J27" s="7">
        <f t="shared" si="7"/>
        <v>0</v>
      </c>
      <c r="K27" s="8">
        <f t="shared" si="4"/>
        <v>33.333333333333336</v>
      </c>
      <c r="L27" s="6">
        <f>COUNTA(E27,#REF!,#REF!,G27,I27)</f>
        <v>3</v>
      </c>
      <c r="M27" s="6">
        <f t="shared" si="5"/>
        <v>17</v>
      </c>
      <c r="N27" s="13">
        <f t="shared" si="6"/>
        <v>1</v>
      </c>
    </row>
    <row r="28" spans="1:14" x14ac:dyDescent="0.3">
      <c r="A28" s="5">
        <f t="shared" si="0"/>
        <v>18</v>
      </c>
      <c r="B28" s="6" t="s">
        <v>328</v>
      </c>
      <c r="C28" s="6" t="s">
        <v>499</v>
      </c>
      <c r="D28" s="6"/>
      <c r="E28" s="6"/>
      <c r="F28" s="7">
        <f t="shared" si="1"/>
        <v>0</v>
      </c>
      <c r="G28" s="6">
        <v>17</v>
      </c>
      <c r="H28" s="7">
        <f t="shared" si="2"/>
        <v>11.111111111111111</v>
      </c>
      <c r="I28" s="6"/>
      <c r="J28" s="7">
        <f t="shared" si="7"/>
        <v>0</v>
      </c>
      <c r="K28" s="8">
        <f t="shared" si="4"/>
        <v>11.111111111111111</v>
      </c>
      <c r="L28" s="6">
        <f>COUNTA(E28,#REF!,#REF!,G28,I28)</f>
        <v>3</v>
      </c>
      <c r="M28" s="6">
        <f t="shared" si="5"/>
        <v>18</v>
      </c>
      <c r="N28" s="13">
        <f t="shared" si="6"/>
        <v>1</v>
      </c>
    </row>
    <row r="29" spans="1:14" x14ac:dyDescent="0.3">
      <c r="A29" s="6">
        <f t="shared" si="0"/>
        <v>19</v>
      </c>
      <c r="B29" s="6" t="s">
        <v>500</v>
      </c>
      <c r="C29" s="6" t="s">
        <v>501</v>
      </c>
      <c r="D29" s="6"/>
      <c r="E29" s="6"/>
      <c r="F29" s="7">
        <f t="shared" si="1"/>
        <v>0</v>
      </c>
      <c r="G29" s="6">
        <v>18</v>
      </c>
      <c r="H29" s="7">
        <f>11/2</f>
        <v>5.5</v>
      </c>
      <c r="I29" s="6"/>
      <c r="J29" s="7">
        <f t="shared" si="7"/>
        <v>0</v>
      </c>
      <c r="K29" s="8">
        <f t="shared" si="4"/>
        <v>5.5</v>
      </c>
      <c r="L29" s="6">
        <f>COUNTA(E29,#REF!,#REF!,G29,I29)</f>
        <v>3</v>
      </c>
      <c r="M29" s="6">
        <f t="shared" si="5"/>
        <v>19</v>
      </c>
      <c r="N29" s="13">
        <f t="shared" si="6"/>
        <v>1</v>
      </c>
    </row>
    <row r="30" spans="1:14" x14ac:dyDescent="0.3">
      <c r="A30" s="5">
        <f t="shared" ref="A30:A52" si="8">M30</f>
        <v>20</v>
      </c>
      <c r="B30" s="6"/>
      <c r="C30" s="6"/>
      <c r="D30" s="6"/>
      <c r="E30" s="6"/>
      <c r="F30" s="7">
        <f t="shared" ref="F30:F52" si="9">IF(E30=0,,($E$9-E30)*$E$7*100/$E$9)</f>
        <v>0</v>
      </c>
      <c r="G30" s="6"/>
      <c r="H30" s="7">
        <f t="shared" ref="H30:H52" si="10">IF(G30=0,,($G$9-G30)*$G$7*100/$G$9)</f>
        <v>0</v>
      </c>
      <c r="I30" s="6"/>
      <c r="J30" s="7">
        <f t="shared" ref="J30:J48" si="11">IF(I30=0,,($I$9-I30)*$I$7*100/$I$9)</f>
        <v>0</v>
      </c>
      <c r="K30" s="8">
        <f t="shared" ref="K30:K52" si="12">F30+H30+J30</f>
        <v>0</v>
      </c>
      <c r="L30" s="6">
        <f>COUNTA(E30,#REF!,#REF!,G30,I30)</f>
        <v>2</v>
      </c>
      <c r="M30" s="6">
        <f t="shared" si="5"/>
        <v>20</v>
      </c>
      <c r="N30" s="13">
        <f t="shared" ref="N30:N52" si="13">L30/$G$3</f>
        <v>0.66666666666666663</v>
      </c>
    </row>
    <row r="31" spans="1:14" x14ac:dyDescent="0.3">
      <c r="A31" s="5">
        <f t="shared" si="8"/>
        <v>21</v>
      </c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8">
        <f t="shared" si="12"/>
        <v>0</v>
      </c>
      <c r="L31" s="6">
        <f>COUNTA(E31,#REF!,#REF!,G31,I31)</f>
        <v>2</v>
      </c>
      <c r="M31" s="6">
        <f t="shared" si="5"/>
        <v>21</v>
      </c>
      <c r="N31" s="13">
        <f t="shared" si="13"/>
        <v>0.66666666666666663</v>
      </c>
    </row>
    <row r="32" spans="1:14" x14ac:dyDescent="0.3">
      <c r="A32" s="5">
        <f t="shared" si="8"/>
        <v>22</v>
      </c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8">
        <f t="shared" si="12"/>
        <v>0</v>
      </c>
      <c r="L32" s="6">
        <f>COUNTA(E32,#REF!,#REF!,G32,I32)</f>
        <v>2</v>
      </c>
      <c r="M32" s="6">
        <f t="shared" si="5"/>
        <v>22</v>
      </c>
      <c r="N32" s="13">
        <f t="shared" si="13"/>
        <v>0.66666666666666663</v>
      </c>
    </row>
    <row r="33" spans="1:14" x14ac:dyDescent="0.3">
      <c r="A33" s="5">
        <f t="shared" si="8"/>
        <v>23</v>
      </c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8">
        <f t="shared" si="12"/>
        <v>0</v>
      </c>
      <c r="L33" s="6">
        <f>COUNTA(E33,#REF!,#REF!,G33,I33)</f>
        <v>2</v>
      </c>
      <c r="M33" s="6">
        <f t="shared" si="5"/>
        <v>23</v>
      </c>
      <c r="N33" s="13">
        <f t="shared" si="13"/>
        <v>0.66666666666666663</v>
      </c>
    </row>
    <row r="34" spans="1:14" x14ac:dyDescent="0.3">
      <c r="A34" s="5">
        <f t="shared" si="8"/>
        <v>24</v>
      </c>
      <c r="B34" s="6"/>
      <c r="C34" s="6"/>
      <c r="D34" s="6"/>
      <c r="E34" s="6"/>
      <c r="F34" s="7">
        <f t="shared" si="9"/>
        <v>0</v>
      </c>
      <c r="G34" s="6"/>
      <c r="H34" s="7">
        <f t="shared" si="10"/>
        <v>0</v>
      </c>
      <c r="I34" s="6"/>
      <c r="J34" s="7">
        <f t="shared" si="11"/>
        <v>0</v>
      </c>
      <c r="K34" s="8">
        <f t="shared" si="12"/>
        <v>0</v>
      </c>
      <c r="L34" s="6">
        <f>COUNTA(E34,#REF!,#REF!,G34,I34)</f>
        <v>2</v>
      </c>
      <c r="M34" s="6">
        <f t="shared" si="5"/>
        <v>24</v>
      </c>
      <c r="N34" s="13">
        <f t="shared" si="13"/>
        <v>0.66666666666666663</v>
      </c>
    </row>
    <row r="35" spans="1:14" x14ac:dyDescent="0.3">
      <c r="A35" s="5">
        <f t="shared" si="8"/>
        <v>25</v>
      </c>
      <c r="B35" s="6"/>
      <c r="C35" s="6"/>
      <c r="D35" s="6"/>
      <c r="E35" s="6"/>
      <c r="F35" s="7">
        <f t="shared" si="9"/>
        <v>0</v>
      </c>
      <c r="G35" s="6"/>
      <c r="H35" s="7">
        <f t="shared" si="10"/>
        <v>0</v>
      </c>
      <c r="I35" s="6"/>
      <c r="J35" s="7">
        <f t="shared" si="11"/>
        <v>0</v>
      </c>
      <c r="K35" s="8">
        <f t="shared" si="12"/>
        <v>0</v>
      </c>
      <c r="L35" s="6">
        <f>COUNTA(E35,#REF!,#REF!,G35,I35)</f>
        <v>2</v>
      </c>
      <c r="M35" s="6">
        <f t="shared" si="5"/>
        <v>25</v>
      </c>
      <c r="N35" s="13">
        <f t="shared" si="13"/>
        <v>0.66666666666666663</v>
      </c>
    </row>
    <row r="36" spans="1:14" x14ac:dyDescent="0.3">
      <c r="A36" s="5">
        <f t="shared" si="8"/>
        <v>26</v>
      </c>
      <c r="B36" s="6"/>
      <c r="C36" s="6"/>
      <c r="D36" s="6"/>
      <c r="E36" s="6"/>
      <c r="F36" s="7">
        <f t="shared" si="9"/>
        <v>0</v>
      </c>
      <c r="G36" s="6"/>
      <c r="H36" s="7">
        <f t="shared" si="10"/>
        <v>0</v>
      </c>
      <c r="I36" s="6"/>
      <c r="J36" s="7">
        <f t="shared" si="11"/>
        <v>0</v>
      </c>
      <c r="K36" s="8">
        <f t="shared" si="12"/>
        <v>0</v>
      </c>
      <c r="L36" s="6">
        <f>COUNTA(E36,#REF!,#REF!,G36,I36)</f>
        <v>2</v>
      </c>
      <c r="M36" s="6">
        <f t="shared" si="5"/>
        <v>26</v>
      </c>
      <c r="N36" s="13">
        <f t="shared" si="13"/>
        <v>0.66666666666666663</v>
      </c>
    </row>
    <row r="37" spans="1:14" x14ac:dyDescent="0.3">
      <c r="A37" s="5">
        <f t="shared" si="8"/>
        <v>27</v>
      </c>
      <c r="B37" s="6"/>
      <c r="C37" s="6"/>
      <c r="D37" s="6"/>
      <c r="E37" s="6"/>
      <c r="F37" s="7">
        <f t="shared" si="9"/>
        <v>0</v>
      </c>
      <c r="G37" s="6"/>
      <c r="H37" s="7">
        <f t="shared" si="10"/>
        <v>0</v>
      </c>
      <c r="I37" s="6"/>
      <c r="J37" s="7">
        <f t="shared" si="11"/>
        <v>0</v>
      </c>
      <c r="K37" s="8">
        <f t="shared" si="12"/>
        <v>0</v>
      </c>
      <c r="L37" s="6">
        <f>COUNTA(E37,#REF!,#REF!,G37,I37)</f>
        <v>2</v>
      </c>
      <c r="M37" s="6">
        <f t="shared" si="5"/>
        <v>27</v>
      </c>
      <c r="N37" s="13">
        <f t="shared" si="13"/>
        <v>0.66666666666666663</v>
      </c>
    </row>
    <row r="38" spans="1:14" x14ac:dyDescent="0.3">
      <c r="A38" s="5">
        <f t="shared" si="8"/>
        <v>28</v>
      </c>
      <c r="B38" s="6"/>
      <c r="C38" s="6"/>
      <c r="D38" s="6"/>
      <c r="E38" s="6"/>
      <c r="F38" s="7">
        <f t="shared" si="9"/>
        <v>0</v>
      </c>
      <c r="G38" s="6"/>
      <c r="H38" s="7">
        <f t="shared" si="10"/>
        <v>0</v>
      </c>
      <c r="I38" s="6"/>
      <c r="J38" s="7">
        <f t="shared" si="11"/>
        <v>0</v>
      </c>
      <c r="K38" s="8">
        <f t="shared" si="12"/>
        <v>0</v>
      </c>
      <c r="L38" s="6">
        <f>COUNTA(E38,#REF!,#REF!,G38,I38)</f>
        <v>2</v>
      </c>
      <c r="M38" s="6">
        <f t="shared" si="5"/>
        <v>28</v>
      </c>
      <c r="N38" s="13">
        <f t="shared" si="13"/>
        <v>0.66666666666666663</v>
      </c>
    </row>
    <row r="39" spans="1:14" x14ac:dyDescent="0.3">
      <c r="A39" s="5">
        <f t="shared" si="8"/>
        <v>29</v>
      </c>
      <c r="B39" s="6"/>
      <c r="C39" s="6"/>
      <c r="D39" s="6"/>
      <c r="E39" s="6"/>
      <c r="F39" s="7">
        <f t="shared" si="9"/>
        <v>0</v>
      </c>
      <c r="G39" s="6"/>
      <c r="H39" s="7">
        <f t="shared" si="10"/>
        <v>0</v>
      </c>
      <c r="I39" s="6"/>
      <c r="J39" s="7">
        <f t="shared" si="11"/>
        <v>0</v>
      </c>
      <c r="K39" s="8">
        <f t="shared" si="12"/>
        <v>0</v>
      </c>
      <c r="L39" s="6">
        <f>COUNTA(E39,#REF!,#REF!,G39,I39)</f>
        <v>2</v>
      </c>
      <c r="M39" s="6">
        <f t="shared" si="5"/>
        <v>29</v>
      </c>
      <c r="N39" s="13">
        <f t="shared" si="13"/>
        <v>0.66666666666666663</v>
      </c>
    </row>
    <row r="40" spans="1:14" x14ac:dyDescent="0.3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5"/>
        <v>30</v>
      </c>
      <c r="N40" s="13">
        <f t="shared" si="13"/>
        <v>0.66666666666666663</v>
      </c>
    </row>
    <row r="41" spans="1:14" x14ac:dyDescent="0.3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5"/>
        <v>31</v>
      </c>
      <c r="N41" s="13">
        <f t="shared" si="13"/>
        <v>0.66666666666666663</v>
      </c>
    </row>
    <row r="42" spans="1:14" x14ac:dyDescent="0.3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5"/>
        <v>32</v>
      </c>
      <c r="N42" s="13">
        <f t="shared" si="13"/>
        <v>0.66666666666666663</v>
      </c>
    </row>
    <row r="43" spans="1:14" x14ac:dyDescent="0.3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5"/>
        <v>33</v>
      </c>
      <c r="N43" s="13">
        <f t="shared" si="13"/>
        <v>0.66666666666666663</v>
      </c>
    </row>
    <row r="44" spans="1:14" x14ac:dyDescent="0.3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5"/>
        <v>34</v>
      </c>
      <c r="N44" s="13">
        <f t="shared" si="13"/>
        <v>0.66666666666666663</v>
      </c>
    </row>
    <row r="45" spans="1:14" x14ac:dyDescent="0.3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5"/>
        <v>35</v>
      </c>
      <c r="N45" s="13">
        <f t="shared" si="13"/>
        <v>0.66666666666666663</v>
      </c>
    </row>
    <row r="46" spans="1:14" x14ac:dyDescent="0.3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5"/>
        <v>36</v>
      </c>
      <c r="N46" s="13">
        <f t="shared" si="13"/>
        <v>0.66666666666666663</v>
      </c>
    </row>
    <row r="47" spans="1:14" x14ac:dyDescent="0.3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5"/>
        <v>37</v>
      </c>
      <c r="N47" s="13">
        <f t="shared" si="13"/>
        <v>0.66666666666666663</v>
      </c>
    </row>
    <row r="48" spans="1:14" x14ac:dyDescent="0.3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5"/>
        <v>38</v>
      </c>
      <c r="N48" s="13">
        <f t="shared" si="13"/>
        <v>0.66666666666666663</v>
      </c>
    </row>
    <row r="49" spans="1:14" x14ac:dyDescent="0.3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f>7/2</f>
        <v>3.5</v>
      </c>
      <c r="K49" s="8">
        <f t="shared" si="12"/>
        <v>3.5</v>
      </c>
      <c r="L49" s="6">
        <f>COUNTA(E49,#REF!,#REF!,G49,I49)</f>
        <v>2</v>
      </c>
      <c r="M49" s="6">
        <f t="shared" si="5"/>
        <v>39</v>
      </c>
      <c r="N49" s="13">
        <f t="shared" si="13"/>
        <v>0.66666666666666663</v>
      </c>
    </row>
    <row r="50" spans="1:14" x14ac:dyDescent="0.3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5"/>
        <v>40</v>
      </c>
      <c r="N50" s="13">
        <f t="shared" si="13"/>
        <v>0.66666666666666663</v>
      </c>
    </row>
    <row r="51" spans="1:14" x14ac:dyDescent="0.3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5"/>
        <v>41</v>
      </c>
      <c r="N51" s="13">
        <f t="shared" si="13"/>
        <v>0.66666666666666663</v>
      </c>
    </row>
    <row r="52" spans="1:14" x14ac:dyDescent="0.3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5"/>
        <v>42</v>
      </c>
      <c r="N52" s="13">
        <f t="shared" si="13"/>
        <v>0.66666666666666663</v>
      </c>
    </row>
    <row r="53" spans="1:14" x14ac:dyDescent="0.3">
      <c r="A53" s="27" t="s">
        <v>237</v>
      </c>
      <c r="B53" s="27"/>
      <c r="C53" s="28"/>
      <c r="E53">
        <f>COUNTA(E11:E52)</f>
        <v>8</v>
      </c>
      <c r="G53">
        <f>COUNTA(G11:G52)</f>
        <v>18</v>
      </c>
      <c r="I53">
        <f>COUNTA(I11:I52)</f>
        <v>11</v>
      </c>
    </row>
    <row r="54" spans="1:14" x14ac:dyDescent="0.3">
      <c r="A54" s="30" t="s">
        <v>35</v>
      </c>
      <c r="B54" s="30"/>
      <c r="C54" s="30"/>
      <c r="E54" s="12">
        <f>E53/$G$2</f>
        <v>0.42105263157894735</v>
      </c>
      <c r="G54" s="12">
        <f>G53/$G$2</f>
        <v>0.94736842105263153</v>
      </c>
      <c r="I54" s="12">
        <f>I53/$G$2</f>
        <v>0.57894736842105265</v>
      </c>
    </row>
  </sheetData>
  <sortState xmlns:xlrd2="http://schemas.microsoft.com/office/spreadsheetml/2017/richdata2" ref="A11:N29">
    <sortCondition descending="1" ref="K11:K29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32" sqref="B32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3">
      <c r="E2" s="31" t="s">
        <v>32</v>
      </c>
      <c r="F2" s="31"/>
      <c r="G2" s="11">
        <f>COUNTA(B11:B52)</f>
        <v>28</v>
      </c>
    </row>
    <row r="3" spans="1:15" x14ac:dyDescent="0.3">
      <c r="B3" s="2"/>
      <c r="E3" s="31" t="s">
        <v>33</v>
      </c>
      <c r="F3" s="31"/>
      <c r="G3" s="11">
        <f>COUNTA(E8:J8)</f>
        <v>3</v>
      </c>
    </row>
    <row r="4" spans="1:15" x14ac:dyDescent="0.3">
      <c r="B4" s="2"/>
      <c r="C4" s="3"/>
    </row>
    <row r="6" spans="1:15" x14ac:dyDescent="0.3">
      <c r="D6" s="1" t="s">
        <v>0</v>
      </c>
      <c r="E6" s="26" t="s">
        <v>269</v>
      </c>
      <c r="F6" s="26"/>
      <c r="G6" s="26" t="s">
        <v>270</v>
      </c>
      <c r="H6" s="26"/>
      <c r="I6" s="26" t="s">
        <v>271</v>
      </c>
      <c r="J6" s="26"/>
    </row>
    <row r="7" spans="1:15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</row>
    <row r="8" spans="1:15" x14ac:dyDescent="0.3">
      <c r="D8" s="1" t="s">
        <v>1</v>
      </c>
      <c r="E8" s="29">
        <v>45578</v>
      </c>
      <c r="F8" s="29"/>
      <c r="G8" s="29">
        <v>45683</v>
      </c>
      <c r="H8" s="29"/>
      <c r="I8" s="29">
        <v>45774</v>
      </c>
      <c r="J8" s="29"/>
    </row>
    <row r="9" spans="1:15" x14ac:dyDescent="0.3">
      <c r="D9" s="1" t="s">
        <v>2</v>
      </c>
      <c r="E9" s="26">
        <v>13</v>
      </c>
      <c r="F9" s="26"/>
      <c r="G9" s="26">
        <v>19</v>
      </c>
      <c r="H9" s="26"/>
      <c r="I9" s="26">
        <v>13</v>
      </c>
      <c r="J9" s="26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34</v>
      </c>
      <c r="M10" s="1" t="s">
        <v>9</v>
      </c>
      <c r="N10" s="1" t="s">
        <v>36</v>
      </c>
    </row>
    <row r="11" spans="1:15" x14ac:dyDescent="0.3">
      <c r="A11" s="5">
        <f t="shared" ref="A11:A38" si="0">M11</f>
        <v>1</v>
      </c>
      <c r="B11" s="6" t="s">
        <v>228</v>
      </c>
      <c r="C11" s="6" t="s">
        <v>229</v>
      </c>
      <c r="D11" s="6" t="s">
        <v>48</v>
      </c>
      <c r="E11" s="6">
        <v>3</v>
      </c>
      <c r="F11" s="7">
        <f t="shared" ref="F11:F26" si="1">IF(E11=0,,($E$9-E11)*$E$7*100/$E$9)</f>
        <v>153.84615384615384</v>
      </c>
      <c r="G11" s="6">
        <v>3</v>
      </c>
      <c r="H11" s="7">
        <f t="shared" ref="H11:H34" si="2">IF(G11=0,,($G$9-G11)*$G$7*100/$G$9)</f>
        <v>168.42105263157896</v>
      </c>
      <c r="I11" s="6">
        <v>1</v>
      </c>
      <c r="J11" s="7">
        <f t="shared" ref="J11:J38" si="3">IF(I11=0,,($I$9-I11)*$I$7*100/$I$9)</f>
        <v>184.61538461538461</v>
      </c>
      <c r="K11" s="8">
        <f t="shared" ref="K11:K38" si="4">F11+H11+J11</f>
        <v>506.88259109311741</v>
      </c>
      <c r="L11" s="6">
        <f>COUNTA(E11,#REF!,#REF!,G11,I11)</f>
        <v>5</v>
      </c>
      <c r="M11" s="6">
        <f t="shared" ref="M11:M38" si="5">ROW(B11)-10</f>
        <v>1</v>
      </c>
      <c r="N11" s="13">
        <f t="shared" ref="N11:N38" si="6">L11/$G$3</f>
        <v>1.6666666666666667</v>
      </c>
    </row>
    <row r="12" spans="1:15" x14ac:dyDescent="0.3">
      <c r="A12" s="5">
        <f t="shared" si="0"/>
        <v>2</v>
      </c>
      <c r="B12" s="6" t="s">
        <v>214</v>
      </c>
      <c r="C12" s="6" t="s">
        <v>180</v>
      </c>
      <c r="D12" s="6" t="s">
        <v>58</v>
      </c>
      <c r="E12" s="6">
        <v>1</v>
      </c>
      <c r="F12" s="7">
        <f t="shared" si="1"/>
        <v>184.61538461538461</v>
      </c>
      <c r="G12" s="6">
        <v>2</v>
      </c>
      <c r="H12" s="7">
        <f t="shared" si="2"/>
        <v>178.94736842105263</v>
      </c>
      <c r="I12" s="6">
        <v>4</v>
      </c>
      <c r="J12" s="7">
        <f t="shared" si="3"/>
        <v>138.46153846153845</v>
      </c>
      <c r="K12" s="8">
        <f t="shared" si="4"/>
        <v>502.0242914979757</v>
      </c>
      <c r="L12" s="6">
        <f>COUNTA(E12,#REF!,#REF!,G12,I12)</f>
        <v>5</v>
      </c>
      <c r="M12" s="6">
        <f t="shared" si="5"/>
        <v>2</v>
      </c>
      <c r="N12" s="13">
        <f t="shared" si="6"/>
        <v>1.6666666666666667</v>
      </c>
    </row>
    <row r="13" spans="1:15" x14ac:dyDescent="0.3">
      <c r="A13" s="5">
        <f t="shared" si="0"/>
        <v>3</v>
      </c>
      <c r="B13" s="6" t="s">
        <v>279</v>
      </c>
      <c r="C13" s="6" t="s">
        <v>280</v>
      </c>
      <c r="D13" s="6" t="s">
        <v>259</v>
      </c>
      <c r="E13" s="6">
        <v>6</v>
      </c>
      <c r="F13" s="7">
        <f t="shared" si="1"/>
        <v>107.69230769230769</v>
      </c>
      <c r="G13" s="6">
        <v>7</v>
      </c>
      <c r="H13" s="7">
        <f t="shared" si="2"/>
        <v>126.31578947368421</v>
      </c>
      <c r="I13" s="6">
        <v>5</v>
      </c>
      <c r="J13" s="7">
        <f t="shared" si="3"/>
        <v>123.07692307692308</v>
      </c>
      <c r="K13" s="8">
        <f t="shared" si="4"/>
        <v>357.08502024291499</v>
      </c>
      <c r="L13" s="6">
        <f>COUNTA(E13,#REF!,#REF!,G13,I13)</f>
        <v>5</v>
      </c>
      <c r="M13" s="6">
        <f t="shared" si="5"/>
        <v>3</v>
      </c>
      <c r="N13" s="13">
        <f t="shared" si="6"/>
        <v>1.6666666666666667</v>
      </c>
    </row>
    <row r="14" spans="1:15" x14ac:dyDescent="0.3">
      <c r="A14" s="5">
        <f t="shared" si="0"/>
        <v>4</v>
      </c>
      <c r="B14" s="6" t="s">
        <v>136</v>
      </c>
      <c r="C14" s="6" t="s">
        <v>137</v>
      </c>
      <c r="D14" s="6" t="s">
        <v>48</v>
      </c>
      <c r="E14" s="6">
        <v>2</v>
      </c>
      <c r="F14" s="7">
        <f t="shared" si="1"/>
        <v>169.23076923076923</v>
      </c>
      <c r="G14" s="6">
        <v>3</v>
      </c>
      <c r="H14" s="7">
        <f t="shared" si="2"/>
        <v>168.42105263157896</v>
      </c>
      <c r="I14" s="6"/>
      <c r="J14" s="7">
        <f t="shared" si="3"/>
        <v>0</v>
      </c>
      <c r="K14" s="8">
        <f t="shared" si="4"/>
        <v>337.65182186234819</v>
      </c>
      <c r="L14" s="6">
        <f>COUNTA(E14,#REF!,#REF!,G14,I14)</f>
        <v>4</v>
      </c>
      <c r="M14" s="6">
        <f t="shared" si="5"/>
        <v>4</v>
      </c>
      <c r="N14" s="13">
        <f t="shared" si="6"/>
        <v>1.3333333333333333</v>
      </c>
    </row>
    <row r="15" spans="1:15" x14ac:dyDescent="0.3">
      <c r="A15" s="5">
        <f t="shared" si="0"/>
        <v>5</v>
      </c>
      <c r="B15" s="6" t="s">
        <v>157</v>
      </c>
      <c r="C15" s="6" t="s">
        <v>64</v>
      </c>
      <c r="D15" s="6" t="s">
        <v>72</v>
      </c>
      <c r="E15" s="6">
        <v>9</v>
      </c>
      <c r="F15" s="7">
        <f t="shared" si="1"/>
        <v>61.53846153846154</v>
      </c>
      <c r="G15" s="6">
        <v>12</v>
      </c>
      <c r="H15" s="7">
        <f t="shared" si="2"/>
        <v>73.684210526315795</v>
      </c>
      <c r="I15" s="6">
        <v>2</v>
      </c>
      <c r="J15" s="7">
        <f t="shared" si="3"/>
        <v>169.23076923076923</v>
      </c>
      <c r="K15" s="8">
        <f t="shared" si="4"/>
        <v>304.45344129554655</v>
      </c>
      <c r="L15" s="6">
        <f>COUNTA(E15,#REF!,#REF!,G15,I15)</f>
        <v>5</v>
      </c>
      <c r="M15" s="6">
        <f t="shared" si="5"/>
        <v>5</v>
      </c>
      <c r="N15" s="13">
        <f t="shared" si="6"/>
        <v>1.6666666666666667</v>
      </c>
    </row>
    <row r="16" spans="1:15" x14ac:dyDescent="0.3">
      <c r="A16" s="5">
        <f t="shared" si="0"/>
        <v>6</v>
      </c>
      <c r="B16" s="6" t="s">
        <v>216</v>
      </c>
      <c r="C16" s="6" t="s">
        <v>207</v>
      </c>
      <c r="D16" s="6" t="s">
        <v>58</v>
      </c>
      <c r="E16" s="6">
        <v>8</v>
      </c>
      <c r="F16" s="7">
        <f t="shared" si="1"/>
        <v>76.92307692307692</v>
      </c>
      <c r="G16" s="6">
        <v>1</v>
      </c>
      <c r="H16" s="7">
        <f t="shared" si="2"/>
        <v>189.47368421052633</v>
      </c>
      <c r="I16" s="6"/>
      <c r="J16" s="7">
        <f t="shared" si="3"/>
        <v>0</v>
      </c>
      <c r="K16" s="8">
        <f t="shared" si="4"/>
        <v>266.39676113360326</v>
      </c>
      <c r="L16" s="6">
        <f>COUNTA(E16,#REF!,#REF!,G16,I16)</f>
        <v>4</v>
      </c>
      <c r="M16" s="6">
        <f t="shared" si="5"/>
        <v>6</v>
      </c>
      <c r="N16" s="13">
        <f t="shared" si="6"/>
        <v>1.3333333333333333</v>
      </c>
    </row>
    <row r="17" spans="1:14" x14ac:dyDescent="0.3">
      <c r="A17" s="5">
        <f t="shared" si="0"/>
        <v>7</v>
      </c>
      <c r="B17" s="6" t="s">
        <v>99</v>
      </c>
      <c r="C17" s="6" t="s">
        <v>138</v>
      </c>
      <c r="D17" s="6" t="s">
        <v>58</v>
      </c>
      <c r="E17" s="6">
        <v>3</v>
      </c>
      <c r="F17" s="7">
        <f t="shared" si="1"/>
        <v>153.84615384615384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153.84615384615384</v>
      </c>
      <c r="L17" s="6">
        <f>COUNTA(E17,#REF!,#REF!,G17,I17)</f>
        <v>3</v>
      </c>
      <c r="M17" s="6">
        <f t="shared" si="5"/>
        <v>7</v>
      </c>
      <c r="N17" s="13">
        <f t="shared" si="6"/>
        <v>1</v>
      </c>
    </row>
    <row r="18" spans="1:14" x14ac:dyDescent="0.3">
      <c r="A18" s="5">
        <f t="shared" si="0"/>
        <v>8</v>
      </c>
      <c r="B18" s="6" t="s">
        <v>579</v>
      </c>
      <c r="C18" s="6" t="s">
        <v>580</v>
      </c>
      <c r="D18" s="6" t="s">
        <v>58</v>
      </c>
      <c r="E18" s="6"/>
      <c r="F18" s="7">
        <f t="shared" si="1"/>
        <v>0</v>
      </c>
      <c r="G18" s="6"/>
      <c r="H18" s="7">
        <f t="shared" si="2"/>
        <v>0</v>
      </c>
      <c r="I18" s="6">
        <v>3</v>
      </c>
      <c r="J18" s="7">
        <f t="shared" si="3"/>
        <v>153.84615384615384</v>
      </c>
      <c r="K18" s="8">
        <f t="shared" si="4"/>
        <v>153.84615384615384</v>
      </c>
      <c r="L18" s="6">
        <f>COUNTA(E18,#REF!,#REF!,G18,I18)</f>
        <v>3</v>
      </c>
      <c r="M18" s="6">
        <f t="shared" si="5"/>
        <v>8</v>
      </c>
      <c r="N18" s="13">
        <f t="shared" si="6"/>
        <v>1</v>
      </c>
    </row>
    <row r="19" spans="1:14" x14ac:dyDescent="0.3">
      <c r="A19" s="5">
        <f t="shared" si="0"/>
        <v>9</v>
      </c>
      <c r="B19" s="6" t="s">
        <v>481</v>
      </c>
      <c r="C19" s="6" t="s">
        <v>86</v>
      </c>
      <c r="D19" s="6" t="s">
        <v>72</v>
      </c>
      <c r="E19" s="6"/>
      <c r="F19" s="7">
        <f t="shared" si="1"/>
        <v>0</v>
      </c>
      <c r="G19" s="6">
        <v>5</v>
      </c>
      <c r="H19" s="7">
        <f t="shared" si="2"/>
        <v>147.36842105263159</v>
      </c>
      <c r="I19" s="6"/>
      <c r="J19" s="7">
        <f t="shared" si="3"/>
        <v>0</v>
      </c>
      <c r="K19" s="8">
        <f t="shared" si="4"/>
        <v>147.36842105263159</v>
      </c>
      <c r="L19" s="6">
        <f>COUNTA(E19,#REF!,#REF!,G19,I19)</f>
        <v>3</v>
      </c>
      <c r="M19" s="6">
        <f t="shared" si="5"/>
        <v>9</v>
      </c>
      <c r="N19" s="13">
        <f t="shared" si="6"/>
        <v>1</v>
      </c>
    </row>
    <row r="20" spans="1:14" x14ac:dyDescent="0.3">
      <c r="A20" s="5">
        <f t="shared" si="0"/>
        <v>10</v>
      </c>
      <c r="B20" s="6" t="s">
        <v>355</v>
      </c>
      <c r="C20" s="6" t="s">
        <v>356</v>
      </c>
      <c r="D20" s="6" t="s">
        <v>49</v>
      </c>
      <c r="E20" s="6"/>
      <c r="F20" s="7">
        <f t="shared" si="1"/>
        <v>0</v>
      </c>
      <c r="G20" s="6">
        <v>6</v>
      </c>
      <c r="H20" s="7">
        <f t="shared" si="2"/>
        <v>136.84210526315789</v>
      </c>
      <c r="I20" s="6"/>
      <c r="J20" s="7">
        <f t="shared" si="3"/>
        <v>0</v>
      </c>
      <c r="K20" s="8">
        <f t="shared" si="4"/>
        <v>136.84210526315789</v>
      </c>
      <c r="L20" s="6">
        <f>COUNTA(E20,#REF!,#REF!,G20,I20)</f>
        <v>3</v>
      </c>
      <c r="M20" s="6">
        <f t="shared" si="5"/>
        <v>10</v>
      </c>
      <c r="N20" s="13">
        <f t="shared" si="6"/>
        <v>1</v>
      </c>
    </row>
    <row r="21" spans="1:14" x14ac:dyDescent="0.3">
      <c r="A21" s="5">
        <f t="shared" si="0"/>
        <v>11</v>
      </c>
      <c r="B21" s="6" t="s">
        <v>283</v>
      </c>
      <c r="C21" s="6" t="s">
        <v>284</v>
      </c>
      <c r="D21" s="6" t="s">
        <v>72</v>
      </c>
      <c r="E21" s="6">
        <v>10</v>
      </c>
      <c r="F21" s="7">
        <f t="shared" si="1"/>
        <v>46.153846153846153</v>
      </c>
      <c r="G21" s="6">
        <v>11</v>
      </c>
      <c r="H21" s="7">
        <f t="shared" si="2"/>
        <v>84.21052631578948</v>
      </c>
      <c r="I21" s="6"/>
      <c r="J21" s="7">
        <f t="shared" si="3"/>
        <v>0</v>
      </c>
      <c r="K21" s="8">
        <f t="shared" si="4"/>
        <v>130.36437246963564</v>
      </c>
      <c r="L21" s="6">
        <f>COUNTA(E21,#REF!,#REF!,G21,I21)</f>
        <v>4</v>
      </c>
      <c r="M21" s="6">
        <f t="shared" si="5"/>
        <v>11</v>
      </c>
      <c r="N21" s="13">
        <f t="shared" si="6"/>
        <v>1.3333333333333333</v>
      </c>
    </row>
    <row r="22" spans="1:14" x14ac:dyDescent="0.3">
      <c r="A22" s="5">
        <f t="shared" si="0"/>
        <v>12</v>
      </c>
      <c r="B22" s="6" t="s">
        <v>573</v>
      </c>
      <c r="C22" s="6" t="s">
        <v>281</v>
      </c>
      <c r="D22" s="6" t="s">
        <v>282</v>
      </c>
      <c r="E22" s="6">
        <v>7</v>
      </c>
      <c r="F22" s="7">
        <f t="shared" si="1"/>
        <v>92.307692307692307</v>
      </c>
      <c r="G22" s="6"/>
      <c r="H22" s="7">
        <f t="shared" si="2"/>
        <v>0</v>
      </c>
      <c r="I22" s="6">
        <v>11</v>
      </c>
      <c r="J22" s="7">
        <f t="shared" si="3"/>
        <v>30.76923076923077</v>
      </c>
      <c r="K22" s="8">
        <f t="shared" si="4"/>
        <v>123.07692307692308</v>
      </c>
      <c r="L22" s="6">
        <f>COUNTA(E22,#REF!,#REF!,G22,I22)</f>
        <v>4</v>
      </c>
      <c r="M22" s="6">
        <f t="shared" si="5"/>
        <v>12</v>
      </c>
      <c r="N22" s="13">
        <f t="shared" si="6"/>
        <v>1.3333333333333333</v>
      </c>
    </row>
    <row r="23" spans="1:14" x14ac:dyDescent="0.3">
      <c r="A23" s="6">
        <f t="shared" si="0"/>
        <v>13</v>
      </c>
      <c r="B23" s="6" t="s">
        <v>277</v>
      </c>
      <c r="C23" s="6" t="s">
        <v>180</v>
      </c>
      <c r="D23" s="6" t="s">
        <v>278</v>
      </c>
      <c r="E23" s="6">
        <v>5</v>
      </c>
      <c r="F23" s="7">
        <f t="shared" si="1"/>
        <v>123.07692307692308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123.07692307692308</v>
      </c>
      <c r="L23" s="6">
        <f>COUNTA(E23,#REF!,#REF!,G23,I23)</f>
        <v>3</v>
      </c>
      <c r="M23" s="6">
        <f t="shared" si="5"/>
        <v>13</v>
      </c>
      <c r="N23" s="13">
        <f t="shared" si="6"/>
        <v>1</v>
      </c>
    </row>
    <row r="24" spans="1:14" x14ac:dyDescent="0.3">
      <c r="A24" s="5">
        <f t="shared" si="0"/>
        <v>14</v>
      </c>
      <c r="B24" s="6" t="s">
        <v>482</v>
      </c>
      <c r="C24" s="6" t="s">
        <v>483</v>
      </c>
      <c r="D24" s="6"/>
      <c r="E24" s="6"/>
      <c r="F24" s="7">
        <f t="shared" si="1"/>
        <v>0</v>
      </c>
      <c r="G24" s="6">
        <v>8</v>
      </c>
      <c r="H24" s="7">
        <f t="shared" si="2"/>
        <v>115.78947368421052</v>
      </c>
      <c r="I24" s="6"/>
      <c r="J24" s="7">
        <f t="shared" si="3"/>
        <v>0</v>
      </c>
      <c r="K24" s="8">
        <f t="shared" si="4"/>
        <v>115.78947368421052</v>
      </c>
      <c r="L24" s="6">
        <f>COUNTA(E24,#REF!,#REF!,G24,I24)</f>
        <v>3</v>
      </c>
      <c r="M24" s="6">
        <f t="shared" si="5"/>
        <v>14</v>
      </c>
      <c r="N24" s="13">
        <f t="shared" si="6"/>
        <v>1</v>
      </c>
    </row>
    <row r="25" spans="1:14" x14ac:dyDescent="0.3">
      <c r="A25" s="5">
        <f t="shared" si="0"/>
        <v>15</v>
      </c>
      <c r="B25" s="6" t="s">
        <v>193</v>
      </c>
      <c r="C25" s="6" t="s">
        <v>285</v>
      </c>
      <c r="D25" s="6" t="s">
        <v>48</v>
      </c>
      <c r="E25" s="6">
        <v>12</v>
      </c>
      <c r="F25" s="7">
        <f t="shared" si="1"/>
        <v>15.384615384615385</v>
      </c>
      <c r="G25" s="6">
        <v>10</v>
      </c>
      <c r="H25" s="7">
        <f t="shared" si="2"/>
        <v>94.736842105263165</v>
      </c>
      <c r="I25" s="6"/>
      <c r="J25" s="7">
        <f t="shared" si="3"/>
        <v>0</v>
      </c>
      <c r="K25" s="8">
        <f t="shared" si="4"/>
        <v>110.12145748987855</v>
      </c>
      <c r="L25" s="6">
        <f>COUNTA(E25,#REF!,#REF!,G25,I25)</f>
        <v>4</v>
      </c>
      <c r="M25" s="6">
        <f t="shared" si="5"/>
        <v>15</v>
      </c>
      <c r="N25" s="13">
        <f t="shared" si="6"/>
        <v>1.3333333333333333</v>
      </c>
    </row>
    <row r="26" spans="1:14" x14ac:dyDescent="0.3">
      <c r="A26" s="5">
        <f t="shared" si="0"/>
        <v>16</v>
      </c>
      <c r="B26" s="6" t="s">
        <v>581</v>
      </c>
      <c r="C26" s="6" t="s">
        <v>163</v>
      </c>
      <c r="D26" s="6" t="s">
        <v>48</v>
      </c>
      <c r="E26" s="6"/>
      <c r="F26" s="7">
        <f t="shared" si="1"/>
        <v>0</v>
      </c>
      <c r="G26" s="6"/>
      <c r="H26" s="7">
        <f t="shared" si="2"/>
        <v>0</v>
      </c>
      <c r="I26" s="6">
        <v>6</v>
      </c>
      <c r="J26" s="7">
        <f t="shared" si="3"/>
        <v>107.69230769230769</v>
      </c>
      <c r="K26" s="8">
        <f t="shared" si="4"/>
        <v>107.69230769230769</v>
      </c>
      <c r="L26" s="6">
        <f>COUNTA(E26,#REF!,#REF!,G26,I26)</f>
        <v>3</v>
      </c>
      <c r="M26" s="6">
        <f t="shared" si="5"/>
        <v>16</v>
      </c>
      <c r="N26" s="13">
        <f t="shared" si="6"/>
        <v>1</v>
      </c>
    </row>
    <row r="27" spans="1:14" x14ac:dyDescent="0.3">
      <c r="A27" s="5">
        <f t="shared" si="0"/>
        <v>17</v>
      </c>
      <c r="B27" s="6" t="s">
        <v>490</v>
      </c>
      <c r="C27" s="15" t="s">
        <v>491</v>
      </c>
      <c r="D27" s="6"/>
      <c r="E27" s="6"/>
      <c r="F27" s="7">
        <f>9/2</f>
        <v>4.5</v>
      </c>
      <c r="G27" s="6">
        <v>18</v>
      </c>
      <c r="H27" s="7">
        <f t="shared" si="2"/>
        <v>10.526315789473685</v>
      </c>
      <c r="I27" s="6">
        <v>7</v>
      </c>
      <c r="J27" s="7">
        <f t="shared" si="3"/>
        <v>92.307692307692307</v>
      </c>
      <c r="K27" s="8">
        <f t="shared" si="4"/>
        <v>107.33400809716599</v>
      </c>
      <c r="L27" s="6">
        <f>COUNTA(E27,#REF!,#REF!,G27,I27)</f>
        <v>4</v>
      </c>
      <c r="M27" s="6">
        <f t="shared" si="5"/>
        <v>17</v>
      </c>
      <c r="N27" s="13">
        <f t="shared" si="6"/>
        <v>1.3333333333333333</v>
      </c>
    </row>
    <row r="28" spans="1:14" x14ac:dyDescent="0.3">
      <c r="A28" s="5">
        <f t="shared" si="0"/>
        <v>18</v>
      </c>
      <c r="B28" s="6" t="s">
        <v>484</v>
      </c>
      <c r="C28" s="6" t="s">
        <v>369</v>
      </c>
      <c r="D28" s="6"/>
      <c r="E28" s="6"/>
      <c r="F28" s="7">
        <f>IF(E28=0,,($E$9-E28)*$E$7*100/$E$9)</f>
        <v>0</v>
      </c>
      <c r="G28" s="6">
        <v>9</v>
      </c>
      <c r="H28" s="7">
        <f t="shared" si="2"/>
        <v>105.26315789473684</v>
      </c>
      <c r="I28" s="6"/>
      <c r="J28" s="7">
        <f t="shared" si="3"/>
        <v>0</v>
      </c>
      <c r="K28" s="8">
        <f t="shared" si="4"/>
        <v>105.26315789473684</v>
      </c>
      <c r="L28" s="6">
        <f>COUNTA(E28,#REF!,#REF!,G28,I28)</f>
        <v>3</v>
      </c>
      <c r="M28" s="6">
        <f t="shared" si="5"/>
        <v>18</v>
      </c>
      <c r="N28" s="13">
        <f t="shared" si="6"/>
        <v>1</v>
      </c>
    </row>
    <row r="29" spans="1:14" x14ac:dyDescent="0.3">
      <c r="A29" s="5">
        <f t="shared" si="0"/>
        <v>19</v>
      </c>
      <c r="B29" s="6" t="s">
        <v>350</v>
      </c>
      <c r="C29" s="6" t="s">
        <v>351</v>
      </c>
      <c r="D29" s="6" t="s">
        <v>352</v>
      </c>
      <c r="E29" s="6"/>
      <c r="F29" s="7">
        <f>IF(E29=0,,($E$9-E29)*$E$7*100/$E$9)</f>
        <v>0</v>
      </c>
      <c r="G29" s="6">
        <v>16</v>
      </c>
      <c r="H29" s="7">
        <f t="shared" si="2"/>
        <v>31.578947368421051</v>
      </c>
      <c r="I29" s="6">
        <v>9</v>
      </c>
      <c r="J29" s="7">
        <f t="shared" si="3"/>
        <v>61.53846153846154</v>
      </c>
      <c r="K29" s="8">
        <f t="shared" si="4"/>
        <v>93.117408906882588</v>
      </c>
      <c r="L29" s="6">
        <f>COUNTA(E29,#REF!,#REF!,G29,I29)</f>
        <v>4</v>
      </c>
      <c r="M29" s="6">
        <f t="shared" si="5"/>
        <v>19</v>
      </c>
      <c r="N29" s="13">
        <f t="shared" si="6"/>
        <v>1.3333333333333333</v>
      </c>
    </row>
    <row r="30" spans="1:14" x14ac:dyDescent="0.3">
      <c r="A30" s="5">
        <f t="shared" si="0"/>
        <v>20</v>
      </c>
      <c r="B30" s="6" t="s">
        <v>596</v>
      </c>
      <c r="C30" s="6" t="s">
        <v>597</v>
      </c>
      <c r="D30" s="6" t="s">
        <v>598</v>
      </c>
      <c r="E30" s="6"/>
      <c r="F30" s="7">
        <f>7/2</f>
        <v>3.5</v>
      </c>
      <c r="G30" s="6"/>
      <c r="H30" s="7">
        <f t="shared" si="2"/>
        <v>0</v>
      </c>
      <c r="I30" s="6">
        <v>8</v>
      </c>
      <c r="J30" s="7">
        <f t="shared" si="3"/>
        <v>76.92307692307692</v>
      </c>
      <c r="K30" s="8">
        <f t="shared" si="4"/>
        <v>80.42307692307692</v>
      </c>
      <c r="L30" s="6">
        <f>COUNTA(E30,#REF!,#REF!,G30,I30)</f>
        <v>3</v>
      </c>
      <c r="M30" s="6">
        <f t="shared" si="5"/>
        <v>20</v>
      </c>
      <c r="N30" s="13">
        <f t="shared" si="6"/>
        <v>1</v>
      </c>
    </row>
    <row r="31" spans="1:14" x14ac:dyDescent="0.3">
      <c r="A31" s="5">
        <f t="shared" si="0"/>
        <v>21</v>
      </c>
      <c r="B31" s="6" t="s">
        <v>153</v>
      </c>
      <c r="C31" s="6" t="s">
        <v>64</v>
      </c>
      <c r="D31" s="6" t="s">
        <v>72</v>
      </c>
      <c r="E31" s="6">
        <v>13</v>
      </c>
      <c r="F31" s="7">
        <f>15/2</f>
        <v>7.5</v>
      </c>
      <c r="G31" s="6">
        <v>15</v>
      </c>
      <c r="H31" s="7">
        <f t="shared" si="2"/>
        <v>42.10526315789474</v>
      </c>
      <c r="I31" s="6">
        <v>12</v>
      </c>
      <c r="J31" s="7">
        <f t="shared" si="3"/>
        <v>15.384615384615385</v>
      </c>
      <c r="K31" s="8">
        <f t="shared" si="4"/>
        <v>64.989878542510127</v>
      </c>
      <c r="L31" s="6">
        <f>COUNTA(E31,#REF!,#REF!,G31,I31)</f>
        <v>5</v>
      </c>
      <c r="M31" s="6">
        <f t="shared" si="5"/>
        <v>21</v>
      </c>
      <c r="N31" s="13">
        <f t="shared" si="6"/>
        <v>1.6666666666666667</v>
      </c>
    </row>
    <row r="32" spans="1:14" x14ac:dyDescent="0.3">
      <c r="A32" s="5">
        <f t="shared" si="0"/>
        <v>22</v>
      </c>
      <c r="B32" s="6" t="s">
        <v>485</v>
      </c>
      <c r="C32" s="6" t="s">
        <v>486</v>
      </c>
      <c r="D32" s="6"/>
      <c r="E32" s="6"/>
      <c r="F32" s="7">
        <f t="shared" ref="F32:F38" si="7">IF(E32=0,,($E$9-E32)*$E$7*100/$E$9)</f>
        <v>0</v>
      </c>
      <c r="G32" s="6">
        <v>13</v>
      </c>
      <c r="H32" s="7">
        <f t="shared" si="2"/>
        <v>63.157894736842103</v>
      </c>
      <c r="I32" s="6"/>
      <c r="J32" s="7">
        <f t="shared" si="3"/>
        <v>0</v>
      </c>
      <c r="K32" s="8">
        <f t="shared" si="4"/>
        <v>63.157894736842103</v>
      </c>
      <c r="L32" s="6">
        <f>COUNTA(E32,#REF!,#REF!,G32,I32)</f>
        <v>3</v>
      </c>
      <c r="M32" s="6">
        <f t="shared" si="5"/>
        <v>22</v>
      </c>
      <c r="N32" s="13">
        <f t="shared" si="6"/>
        <v>1</v>
      </c>
    </row>
    <row r="33" spans="1:14" x14ac:dyDescent="0.3">
      <c r="A33" s="5">
        <f t="shared" si="0"/>
        <v>23</v>
      </c>
      <c r="B33" s="6" t="s">
        <v>487</v>
      </c>
      <c r="C33" s="6" t="s">
        <v>69</v>
      </c>
      <c r="D33" s="6"/>
      <c r="E33" s="6"/>
      <c r="F33" s="7">
        <f t="shared" si="7"/>
        <v>0</v>
      </c>
      <c r="G33" s="6">
        <v>14</v>
      </c>
      <c r="H33" s="7">
        <f t="shared" si="2"/>
        <v>52.631578947368418</v>
      </c>
      <c r="I33" s="6"/>
      <c r="J33" s="7">
        <f t="shared" si="3"/>
        <v>0</v>
      </c>
      <c r="K33" s="8">
        <f t="shared" si="4"/>
        <v>52.631578947368418</v>
      </c>
      <c r="L33" s="6">
        <f>COUNTA(E33,#REF!,#REF!,G33,I33)</f>
        <v>3</v>
      </c>
      <c r="M33" s="6">
        <f t="shared" si="5"/>
        <v>23</v>
      </c>
      <c r="N33" s="13">
        <f t="shared" si="6"/>
        <v>1</v>
      </c>
    </row>
    <row r="34" spans="1:14" x14ac:dyDescent="0.3">
      <c r="A34" s="5">
        <f t="shared" si="0"/>
        <v>24</v>
      </c>
      <c r="B34" s="6" t="s">
        <v>576</v>
      </c>
      <c r="C34" s="6" t="s">
        <v>582</v>
      </c>
      <c r="D34" s="6" t="s">
        <v>58</v>
      </c>
      <c r="E34" s="6"/>
      <c r="F34" s="7">
        <f t="shared" si="7"/>
        <v>0</v>
      </c>
      <c r="G34" s="6"/>
      <c r="H34" s="7">
        <f t="shared" si="2"/>
        <v>0</v>
      </c>
      <c r="I34" s="6">
        <v>10</v>
      </c>
      <c r="J34" s="7">
        <f t="shared" si="3"/>
        <v>46.153846153846153</v>
      </c>
      <c r="K34" s="8">
        <f t="shared" si="4"/>
        <v>46.153846153846153</v>
      </c>
      <c r="L34" s="6">
        <f>COUNTA(E34,#REF!,#REF!,G34,I34)</f>
        <v>3</v>
      </c>
      <c r="M34" s="6">
        <f t="shared" si="5"/>
        <v>24</v>
      </c>
      <c r="N34" s="13">
        <f t="shared" si="6"/>
        <v>1</v>
      </c>
    </row>
    <row r="35" spans="1:14" x14ac:dyDescent="0.3">
      <c r="A35" s="5">
        <f t="shared" si="0"/>
        <v>25</v>
      </c>
      <c r="B35" s="6" t="s">
        <v>157</v>
      </c>
      <c r="C35" s="6" t="s">
        <v>140</v>
      </c>
      <c r="D35" s="6" t="s">
        <v>72</v>
      </c>
      <c r="E35" s="6">
        <v>11</v>
      </c>
      <c r="F35" s="7">
        <f t="shared" si="7"/>
        <v>30.76923076923077</v>
      </c>
      <c r="G35" s="6">
        <v>19</v>
      </c>
      <c r="H35" s="7">
        <f>11/2</f>
        <v>5.5</v>
      </c>
      <c r="I35" s="6">
        <v>13</v>
      </c>
      <c r="J35" s="7">
        <f t="shared" si="3"/>
        <v>0</v>
      </c>
      <c r="K35" s="8">
        <f t="shared" si="4"/>
        <v>36.269230769230774</v>
      </c>
      <c r="L35" s="6">
        <f>COUNTA(E35,#REF!,#REF!,G35,I35)</f>
        <v>5</v>
      </c>
      <c r="M35" s="6">
        <f t="shared" si="5"/>
        <v>25</v>
      </c>
      <c r="N35" s="13">
        <f t="shared" si="6"/>
        <v>1.6666666666666667</v>
      </c>
    </row>
    <row r="36" spans="1:14" x14ac:dyDescent="0.3">
      <c r="A36" s="5">
        <f t="shared" si="0"/>
        <v>26</v>
      </c>
      <c r="B36" s="6" t="s">
        <v>488</v>
      </c>
      <c r="C36" s="6" t="s">
        <v>489</v>
      </c>
      <c r="D36" s="6"/>
      <c r="E36" s="6"/>
      <c r="F36" s="7">
        <f t="shared" si="7"/>
        <v>0</v>
      </c>
      <c r="G36" s="6">
        <v>17</v>
      </c>
      <c r="H36" s="7">
        <f>IF(G36=0,,($G$9-G36)*$G$7*100/$G$9)</f>
        <v>21.05263157894737</v>
      </c>
      <c r="I36" s="6"/>
      <c r="J36" s="7">
        <f t="shared" si="3"/>
        <v>0</v>
      </c>
      <c r="K36" s="8">
        <f t="shared" si="4"/>
        <v>21.05263157894737</v>
      </c>
      <c r="L36" s="6">
        <f>COUNTA(E36,#REF!,#REF!,G36,I36)</f>
        <v>3</v>
      </c>
      <c r="M36" s="6">
        <f t="shared" si="5"/>
        <v>26</v>
      </c>
      <c r="N36" s="13">
        <f t="shared" si="6"/>
        <v>1</v>
      </c>
    </row>
    <row r="37" spans="1:14" x14ac:dyDescent="0.3">
      <c r="A37" s="6">
        <f t="shared" si="0"/>
        <v>27</v>
      </c>
      <c r="B37" s="6" t="s">
        <v>353</v>
      </c>
      <c r="C37" s="6" t="s">
        <v>354</v>
      </c>
      <c r="D37" s="6" t="s">
        <v>352</v>
      </c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>
        <f t="shared" si="6"/>
        <v>0.66666666666666663</v>
      </c>
    </row>
    <row r="38" spans="1:14" x14ac:dyDescent="0.3">
      <c r="A38" s="5">
        <f t="shared" si="0"/>
        <v>28</v>
      </c>
      <c r="B38" s="6" t="s">
        <v>349</v>
      </c>
      <c r="C38" s="6" t="s">
        <v>84</v>
      </c>
      <c r="D38" s="6" t="s">
        <v>282</v>
      </c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>
        <f t="shared" si="6"/>
        <v>0.66666666666666663</v>
      </c>
    </row>
    <row r="39" spans="1:14" x14ac:dyDescent="0.3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>
        <f t="shared" ref="N39:N52" si="14">L39/$G$3</f>
        <v>0.66666666666666663</v>
      </c>
    </row>
    <row r="40" spans="1:14" x14ac:dyDescent="0.3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>
        <f t="shared" si="14"/>
        <v>0.66666666666666663</v>
      </c>
    </row>
    <row r="41" spans="1:14" x14ac:dyDescent="0.3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>
        <f t="shared" si="14"/>
        <v>0.66666666666666663</v>
      </c>
    </row>
    <row r="42" spans="1:14" x14ac:dyDescent="0.3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>
        <f t="shared" si="14"/>
        <v>0.66666666666666663</v>
      </c>
    </row>
    <row r="43" spans="1:14" x14ac:dyDescent="0.3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>
        <f t="shared" si="14"/>
        <v>0.66666666666666663</v>
      </c>
    </row>
    <row r="44" spans="1:14" x14ac:dyDescent="0.3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>
        <f t="shared" si="14"/>
        <v>0.66666666666666663</v>
      </c>
    </row>
    <row r="45" spans="1:14" x14ac:dyDescent="0.3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>
        <f t="shared" si="14"/>
        <v>0.66666666666666663</v>
      </c>
    </row>
    <row r="46" spans="1:14" x14ac:dyDescent="0.3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>
        <f t="shared" si="14"/>
        <v>0.66666666666666663</v>
      </c>
    </row>
    <row r="47" spans="1:14" x14ac:dyDescent="0.3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>
        <f t="shared" si="14"/>
        <v>0.66666666666666663</v>
      </c>
    </row>
    <row r="48" spans="1:14" x14ac:dyDescent="0.3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>
        <f t="shared" si="14"/>
        <v>0.66666666666666663</v>
      </c>
    </row>
    <row r="49" spans="1:14" x14ac:dyDescent="0.3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>
        <f t="shared" si="14"/>
        <v>0.66666666666666663</v>
      </c>
    </row>
    <row r="50" spans="1:14" x14ac:dyDescent="0.3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>
        <f t="shared" si="14"/>
        <v>0.66666666666666663</v>
      </c>
    </row>
    <row r="51" spans="1:14" x14ac:dyDescent="0.3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>
        <f t="shared" si="14"/>
        <v>0.66666666666666663</v>
      </c>
    </row>
    <row r="52" spans="1:14" x14ac:dyDescent="0.3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>
        <f t="shared" si="14"/>
        <v>0.66666666666666663</v>
      </c>
    </row>
    <row r="53" spans="1:14" x14ac:dyDescent="0.3">
      <c r="A53" s="27" t="s">
        <v>18</v>
      </c>
      <c r="B53" s="27"/>
      <c r="C53" s="28"/>
      <c r="E53">
        <f>COUNTA(E11:E52)</f>
        <v>13</v>
      </c>
      <c r="G53">
        <f>COUNTA(G11:G52)</f>
        <v>19</v>
      </c>
      <c r="I53">
        <f>COUNTA(I11:I52)</f>
        <v>13</v>
      </c>
    </row>
    <row r="54" spans="1:14" x14ac:dyDescent="0.3">
      <c r="A54" s="30" t="s">
        <v>35</v>
      </c>
      <c r="B54" s="30"/>
      <c r="C54" s="30"/>
      <c r="E54" s="12">
        <f>E53/$G$2</f>
        <v>0.4642857142857143</v>
      </c>
      <c r="G54" s="12">
        <f>G53/$G$2</f>
        <v>0.6785714285714286</v>
      </c>
      <c r="I54" s="12">
        <f>I53/$G$2</f>
        <v>0.4642857142857143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S17" sqref="S17"/>
    </sheetView>
  </sheetViews>
  <sheetFormatPr baseColWidth="10" defaultColWidth="11.44140625" defaultRowHeight="14.4" x14ac:dyDescent="0.3"/>
  <cols>
    <col min="1" max="1" width="18.33203125" bestFit="1" customWidth="1"/>
    <col min="2" max="2" width="9.5546875" bestFit="1" customWidth="1"/>
    <col min="3" max="3" width="19" bestFit="1" customWidth="1"/>
    <col min="5" max="5" width="14.8867187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.2" x14ac:dyDescent="0.6">
      <c r="A1" s="25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3" spans="1:15" x14ac:dyDescent="0.3">
      <c r="C3" s="2"/>
    </row>
    <row r="4" spans="1:15" x14ac:dyDescent="0.3">
      <c r="C4" s="2"/>
      <c r="D4" s="3"/>
    </row>
    <row r="6" spans="1:15" x14ac:dyDescent="0.3">
      <c r="E6" s="1" t="s">
        <v>0</v>
      </c>
      <c r="F6" s="26" t="s">
        <v>41</v>
      </c>
      <c r="G6" s="26"/>
      <c r="H6" s="26" t="s">
        <v>46</v>
      </c>
      <c r="I6" s="26"/>
      <c r="J6" s="26" t="s">
        <v>45</v>
      </c>
      <c r="K6" s="26"/>
      <c r="L6" s="26" t="s">
        <v>603</v>
      </c>
      <c r="M6" s="26"/>
    </row>
    <row r="7" spans="1:15" x14ac:dyDescent="0.3">
      <c r="E7" s="1" t="s">
        <v>10</v>
      </c>
      <c r="F7" s="23">
        <v>2</v>
      </c>
      <c r="G7" s="24"/>
      <c r="H7" s="23">
        <v>3</v>
      </c>
      <c r="I7" s="24"/>
      <c r="J7" s="23">
        <v>2</v>
      </c>
      <c r="K7" s="24"/>
      <c r="L7" s="23">
        <v>5</v>
      </c>
      <c r="M7" s="24"/>
    </row>
    <row r="8" spans="1:15" x14ac:dyDescent="0.3">
      <c r="E8" s="1" t="s">
        <v>1</v>
      </c>
      <c r="F8" s="29">
        <v>45682</v>
      </c>
      <c r="G8" s="29"/>
      <c r="H8" s="29">
        <v>45725</v>
      </c>
      <c r="I8" s="29"/>
      <c r="J8" s="29">
        <v>45774</v>
      </c>
      <c r="K8" s="29"/>
      <c r="L8" s="29">
        <v>45780</v>
      </c>
      <c r="M8" s="29"/>
    </row>
    <row r="9" spans="1:15" x14ac:dyDescent="0.3">
      <c r="E9" s="1" t="s">
        <v>2</v>
      </c>
      <c r="F9" s="26">
        <v>2</v>
      </c>
      <c r="G9" s="26"/>
      <c r="H9" s="26">
        <v>0</v>
      </c>
      <c r="I9" s="26"/>
      <c r="J9" s="26">
        <v>6</v>
      </c>
      <c r="K9" s="26"/>
      <c r="L9" s="26"/>
      <c r="M9" s="26"/>
    </row>
    <row r="10" spans="1:15" x14ac:dyDescent="0.3">
      <c r="A10" s="1" t="s">
        <v>9</v>
      </c>
      <c r="B10" s="1" t="s">
        <v>601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3">
      <c r="A11" s="5">
        <f t="shared" ref="A11:A19" si="0">O11</f>
        <v>1</v>
      </c>
      <c r="B11" s="22" t="s">
        <v>602</v>
      </c>
      <c r="C11" s="6" t="s">
        <v>507</v>
      </c>
      <c r="D11" s="6" t="s">
        <v>508</v>
      </c>
      <c r="E11" s="6" t="s">
        <v>221</v>
      </c>
      <c r="F11" s="7">
        <v>1</v>
      </c>
      <c r="G11" s="7">
        <f>IF(F11=0,,($F$9-F11)*$F$7*100/$F$9)</f>
        <v>100</v>
      </c>
      <c r="H11" s="7"/>
      <c r="I11" s="7">
        <f>IF(H11=0,,(#REF!-H11)*#REF!*100/#REF!)</f>
        <v>0</v>
      </c>
      <c r="J11" s="7">
        <v>6</v>
      </c>
      <c r="K11" s="7">
        <f>33/2</f>
        <v>16.5</v>
      </c>
      <c r="L11" s="7"/>
      <c r="M11" s="7">
        <f t="shared" ref="M11:M17" si="1">IF(L11=0,,($L$9-L11)*$L$7*100/$L$9)</f>
        <v>0</v>
      </c>
      <c r="N11" s="8">
        <f>SUM(G11,I11,M11,K11)</f>
        <v>116.5</v>
      </c>
      <c r="O11" s="7">
        <f t="shared" ref="O11:O19" si="2">ROW(C11)-10</f>
        <v>1</v>
      </c>
    </row>
    <row r="12" spans="1:15" x14ac:dyDescent="0.3">
      <c r="A12" s="5">
        <f t="shared" si="0"/>
        <v>2</v>
      </c>
      <c r="B12" s="5"/>
      <c r="C12" s="6" t="s">
        <v>502</v>
      </c>
      <c r="D12" s="6" t="s">
        <v>509</v>
      </c>
      <c r="E12" s="6" t="s">
        <v>510</v>
      </c>
      <c r="F12" s="7">
        <v>2</v>
      </c>
      <c r="G12" s="7">
        <v>50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50</v>
      </c>
      <c r="O12" s="7">
        <f t="shared" si="2"/>
        <v>2</v>
      </c>
    </row>
    <row r="13" spans="1:15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3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3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3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3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3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3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3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3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3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3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3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3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3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3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3">
      <c r="A34" s="27" t="s">
        <v>18</v>
      </c>
      <c r="B34" s="27"/>
      <c r="C34" s="27"/>
      <c r="D34" s="28"/>
      <c r="F34">
        <f>COUNTA(F11:F33)</f>
        <v>2</v>
      </c>
      <c r="H34">
        <f>COUNTA(H11:H33)</f>
        <v>0</v>
      </c>
      <c r="J34">
        <f>COUNTA(J11:J33)</f>
        <v>1</v>
      </c>
      <c r="L34">
        <f>COUNTA(L11:L33)</f>
        <v>0</v>
      </c>
    </row>
  </sheetData>
  <mergeCells count="18">
    <mergeCell ref="H8:I8"/>
    <mergeCell ref="J6:K6"/>
    <mergeCell ref="J7:K7"/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21" sqref="B21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8" x14ac:dyDescent="0.3">
      <c r="E2" s="31" t="s">
        <v>32</v>
      </c>
      <c r="F2" s="31"/>
      <c r="G2" s="11">
        <f>COUNTA(B11:B52)</f>
        <v>28</v>
      </c>
    </row>
    <row r="3" spans="1:18" x14ac:dyDescent="0.3">
      <c r="B3" s="2"/>
      <c r="E3" s="31" t="s">
        <v>33</v>
      </c>
      <c r="F3" s="31"/>
      <c r="G3" s="11">
        <f>COUNTA(E8:N8)</f>
        <v>5</v>
      </c>
    </row>
    <row r="4" spans="1:18" x14ac:dyDescent="0.3">
      <c r="B4" s="2"/>
      <c r="C4" s="3"/>
    </row>
    <row r="6" spans="1:18" x14ac:dyDescent="0.3">
      <c r="D6" s="1" t="s">
        <v>0</v>
      </c>
      <c r="E6" s="26" t="s">
        <v>269</v>
      </c>
      <c r="F6" s="26"/>
      <c r="G6" s="26" t="s">
        <v>26</v>
      </c>
      <c r="H6" s="26"/>
      <c r="I6" s="26" t="s">
        <v>15</v>
      </c>
      <c r="J6" s="26"/>
      <c r="K6" s="26" t="s">
        <v>270</v>
      </c>
      <c r="L6" s="26"/>
      <c r="M6" s="26" t="s">
        <v>271</v>
      </c>
      <c r="N6" s="26"/>
    </row>
    <row r="7" spans="1:18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  <c r="K7" s="23">
        <v>2</v>
      </c>
      <c r="L7" s="24"/>
      <c r="M7" s="23">
        <v>2</v>
      </c>
      <c r="N7" s="24"/>
    </row>
    <row r="8" spans="1:18" x14ac:dyDescent="0.3">
      <c r="D8" s="1" t="s">
        <v>1</v>
      </c>
      <c r="E8" s="29">
        <v>45578</v>
      </c>
      <c r="F8" s="29"/>
      <c r="G8" s="36">
        <v>45607</v>
      </c>
      <c r="H8" s="37"/>
      <c r="I8" s="36">
        <v>45612</v>
      </c>
      <c r="J8" s="37"/>
      <c r="K8" s="29">
        <v>45683</v>
      </c>
      <c r="L8" s="29"/>
      <c r="M8" s="29">
        <v>45774</v>
      </c>
      <c r="N8" s="29"/>
    </row>
    <row r="9" spans="1:18" x14ac:dyDescent="0.3">
      <c r="D9" s="1" t="s">
        <v>2</v>
      </c>
      <c r="E9" s="26">
        <v>13</v>
      </c>
      <c r="F9" s="26"/>
      <c r="G9" s="23">
        <v>12</v>
      </c>
      <c r="H9" s="24"/>
      <c r="I9" s="23"/>
      <c r="J9" s="24"/>
      <c r="K9" s="26">
        <v>19</v>
      </c>
      <c r="L9" s="26"/>
      <c r="M9" s="26">
        <v>13</v>
      </c>
      <c r="N9" s="26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34</v>
      </c>
      <c r="Q10" s="1" t="s">
        <v>9</v>
      </c>
      <c r="R10" s="1" t="s">
        <v>36</v>
      </c>
    </row>
    <row r="11" spans="1:18" x14ac:dyDescent="0.3">
      <c r="A11" s="5">
        <f t="shared" ref="A11:A38" si="0">Q11</f>
        <v>1</v>
      </c>
      <c r="B11" s="6" t="s">
        <v>228</v>
      </c>
      <c r="C11" s="6" t="s">
        <v>229</v>
      </c>
      <c r="D11" s="6" t="s">
        <v>48</v>
      </c>
      <c r="E11" s="6">
        <v>3</v>
      </c>
      <c r="F11" s="7">
        <f t="shared" ref="F11:F28" si="1">IF(E11=0,,($E$9-E11)*$E$7*100/$E$9)</f>
        <v>153.84615384615384</v>
      </c>
      <c r="G11" s="6">
        <v>1</v>
      </c>
      <c r="H11" s="7">
        <f t="shared" ref="H11:H35" si="2">IF(G11=0,,($G$9-G11)*$G$7*100/$G$9)</f>
        <v>183.33333333333334</v>
      </c>
      <c r="I11" s="6"/>
      <c r="J11" s="7">
        <f t="shared" ref="J11:J38" si="3">IF(I11=0,,($I$9-I11)*$I$7*100/$I$9)</f>
        <v>0</v>
      </c>
      <c r="K11" s="6">
        <v>3</v>
      </c>
      <c r="L11" s="7">
        <f t="shared" ref="L11:L35" si="4">IF(K11=0,,($K$9-K11)*$K$7*100/$K$9)</f>
        <v>168.42105263157896</v>
      </c>
      <c r="M11" s="6">
        <v>1</v>
      </c>
      <c r="N11" s="7">
        <f t="shared" ref="N11:N38" si="5">IF(M11=0,,($M$9-M11)*$M$7*100/$M$9)</f>
        <v>184.61538461538461</v>
      </c>
      <c r="O11" s="8">
        <f t="shared" ref="O11:O38" si="6">F11+H11+J11+L11+N11</f>
        <v>690.21592442645078</v>
      </c>
      <c r="P11" s="6">
        <f t="shared" ref="P11:P38" si="7">COUNTA(E11,G11,I11,K11,M11)</f>
        <v>4</v>
      </c>
      <c r="Q11" s="6">
        <f t="shared" ref="Q11:Q38" si="8">ROW(B11)-10</f>
        <v>1</v>
      </c>
      <c r="R11" s="13">
        <f t="shared" ref="R11:R38" si="9">P11/$G$3</f>
        <v>0.8</v>
      </c>
    </row>
    <row r="12" spans="1:18" x14ac:dyDescent="0.3">
      <c r="A12" s="5">
        <f t="shared" si="0"/>
        <v>2</v>
      </c>
      <c r="B12" s="6" t="s">
        <v>279</v>
      </c>
      <c r="C12" s="6" t="s">
        <v>280</v>
      </c>
      <c r="D12" s="6" t="s">
        <v>259</v>
      </c>
      <c r="E12" s="6">
        <v>6</v>
      </c>
      <c r="F12" s="7">
        <f t="shared" si="1"/>
        <v>107.69230769230769</v>
      </c>
      <c r="G12" s="6">
        <v>3</v>
      </c>
      <c r="H12" s="7">
        <f t="shared" si="2"/>
        <v>150</v>
      </c>
      <c r="I12" s="6"/>
      <c r="J12" s="7">
        <f t="shared" si="3"/>
        <v>0</v>
      </c>
      <c r="K12" s="6">
        <v>7</v>
      </c>
      <c r="L12" s="7">
        <f t="shared" si="4"/>
        <v>126.31578947368421</v>
      </c>
      <c r="M12" s="6">
        <v>5</v>
      </c>
      <c r="N12" s="7">
        <f t="shared" si="5"/>
        <v>123.07692307692308</v>
      </c>
      <c r="O12" s="8">
        <f t="shared" si="6"/>
        <v>507.08502024291499</v>
      </c>
      <c r="P12" s="6">
        <f t="shared" si="7"/>
        <v>4</v>
      </c>
      <c r="Q12" s="6">
        <f t="shared" si="8"/>
        <v>2</v>
      </c>
      <c r="R12" s="13">
        <f t="shared" si="9"/>
        <v>0.8</v>
      </c>
    </row>
    <row r="13" spans="1:18" x14ac:dyDescent="0.3">
      <c r="A13" s="5">
        <f t="shared" si="0"/>
        <v>3</v>
      </c>
      <c r="B13" s="6" t="s">
        <v>214</v>
      </c>
      <c r="C13" s="6" t="s">
        <v>180</v>
      </c>
      <c r="D13" s="6" t="s">
        <v>58</v>
      </c>
      <c r="E13" s="6">
        <v>1</v>
      </c>
      <c r="F13" s="7">
        <f t="shared" si="1"/>
        <v>184.61538461538461</v>
      </c>
      <c r="G13" s="6"/>
      <c r="H13" s="7">
        <f t="shared" si="2"/>
        <v>0</v>
      </c>
      <c r="I13" s="6"/>
      <c r="J13" s="7">
        <f t="shared" si="3"/>
        <v>0</v>
      </c>
      <c r="K13" s="6">
        <v>2</v>
      </c>
      <c r="L13" s="7">
        <f t="shared" si="4"/>
        <v>178.94736842105263</v>
      </c>
      <c r="M13" s="6">
        <v>4</v>
      </c>
      <c r="N13" s="7">
        <f t="shared" si="5"/>
        <v>138.46153846153845</v>
      </c>
      <c r="O13" s="8">
        <f t="shared" si="6"/>
        <v>502.0242914979757</v>
      </c>
      <c r="P13" s="6">
        <f t="shared" si="7"/>
        <v>3</v>
      </c>
      <c r="Q13" s="6">
        <f t="shared" si="8"/>
        <v>3</v>
      </c>
      <c r="R13" s="13">
        <f t="shared" si="9"/>
        <v>0.6</v>
      </c>
    </row>
    <row r="14" spans="1:18" x14ac:dyDescent="0.3">
      <c r="A14" s="5">
        <f t="shared" si="0"/>
        <v>4</v>
      </c>
      <c r="B14" s="6" t="s">
        <v>136</v>
      </c>
      <c r="C14" s="6" t="s">
        <v>137</v>
      </c>
      <c r="D14" s="6" t="s">
        <v>48</v>
      </c>
      <c r="E14" s="6">
        <v>2</v>
      </c>
      <c r="F14" s="7">
        <f t="shared" si="1"/>
        <v>169.23076923076923</v>
      </c>
      <c r="G14" s="6">
        <v>6</v>
      </c>
      <c r="H14" s="7">
        <f t="shared" si="2"/>
        <v>100</v>
      </c>
      <c r="I14" s="6"/>
      <c r="J14" s="7">
        <f t="shared" si="3"/>
        <v>0</v>
      </c>
      <c r="K14" s="6">
        <v>3</v>
      </c>
      <c r="L14" s="7">
        <f t="shared" si="4"/>
        <v>168.42105263157896</v>
      </c>
      <c r="M14" s="6"/>
      <c r="N14" s="7">
        <f t="shared" si="5"/>
        <v>0</v>
      </c>
      <c r="O14" s="8">
        <f t="shared" si="6"/>
        <v>437.65182186234819</v>
      </c>
      <c r="P14" s="6">
        <f t="shared" si="7"/>
        <v>3</v>
      </c>
      <c r="Q14" s="6">
        <f t="shared" si="8"/>
        <v>4</v>
      </c>
      <c r="R14" s="13">
        <f t="shared" si="9"/>
        <v>0.6</v>
      </c>
    </row>
    <row r="15" spans="1:18" x14ac:dyDescent="0.3">
      <c r="A15" s="5">
        <f t="shared" si="0"/>
        <v>5</v>
      </c>
      <c r="B15" s="6" t="s">
        <v>157</v>
      </c>
      <c r="C15" s="6" t="s">
        <v>64</v>
      </c>
      <c r="D15" s="6" t="s">
        <v>72</v>
      </c>
      <c r="E15" s="6">
        <v>9</v>
      </c>
      <c r="F15" s="7">
        <f t="shared" si="1"/>
        <v>61.53846153846154</v>
      </c>
      <c r="G15" s="6">
        <v>8</v>
      </c>
      <c r="H15" s="7">
        <f t="shared" si="2"/>
        <v>66.666666666666671</v>
      </c>
      <c r="I15" s="6"/>
      <c r="J15" s="7">
        <f t="shared" si="3"/>
        <v>0</v>
      </c>
      <c r="K15" s="6">
        <v>12</v>
      </c>
      <c r="L15" s="7">
        <f t="shared" si="4"/>
        <v>73.684210526315795</v>
      </c>
      <c r="M15" s="6">
        <v>2</v>
      </c>
      <c r="N15" s="7">
        <f t="shared" si="5"/>
        <v>169.23076923076923</v>
      </c>
      <c r="O15" s="8">
        <f t="shared" si="6"/>
        <v>371.12010796221324</v>
      </c>
      <c r="P15" s="6">
        <f t="shared" si="7"/>
        <v>4</v>
      </c>
      <c r="Q15" s="6">
        <f t="shared" si="8"/>
        <v>5</v>
      </c>
      <c r="R15" s="13">
        <f t="shared" si="9"/>
        <v>0.8</v>
      </c>
    </row>
    <row r="16" spans="1:18" x14ac:dyDescent="0.3">
      <c r="A16" s="5">
        <f t="shared" si="0"/>
        <v>6</v>
      </c>
      <c r="B16" s="6" t="s">
        <v>216</v>
      </c>
      <c r="C16" s="6" t="s">
        <v>207</v>
      </c>
      <c r="D16" s="6" t="s">
        <v>58</v>
      </c>
      <c r="E16" s="6">
        <v>8</v>
      </c>
      <c r="F16" s="7">
        <f t="shared" si="1"/>
        <v>76.92307692307692</v>
      </c>
      <c r="G16" s="6">
        <v>7</v>
      </c>
      <c r="H16" s="7">
        <f t="shared" si="2"/>
        <v>83.333333333333329</v>
      </c>
      <c r="I16" s="6"/>
      <c r="J16" s="7">
        <f t="shared" si="3"/>
        <v>0</v>
      </c>
      <c r="K16" s="6">
        <v>1</v>
      </c>
      <c r="L16" s="7">
        <f t="shared" si="4"/>
        <v>189.47368421052633</v>
      </c>
      <c r="M16" s="6"/>
      <c r="N16" s="7">
        <f t="shared" si="5"/>
        <v>0</v>
      </c>
      <c r="O16" s="8">
        <f t="shared" si="6"/>
        <v>349.73009446693658</v>
      </c>
      <c r="P16" s="6">
        <f t="shared" si="7"/>
        <v>3</v>
      </c>
      <c r="Q16" s="6">
        <f t="shared" si="8"/>
        <v>6</v>
      </c>
      <c r="R16" s="13">
        <f t="shared" si="9"/>
        <v>0.6</v>
      </c>
    </row>
    <row r="17" spans="1:18" x14ac:dyDescent="0.3">
      <c r="A17" s="5">
        <f t="shared" si="0"/>
        <v>7</v>
      </c>
      <c r="B17" s="6" t="s">
        <v>355</v>
      </c>
      <c r="C17" s="6" t="s">
        <v>356</v>
      </c>
      <c r="D17" s="6" t="s">
        <v>49</v>
      </c>
      <c r="E17" s="6"/>
      <c r="F17" s="7">
        <f t="shared" si="1"/>
        <v>0</v>
      </c>
      <c r="G17" s="6">
        <v>2</v>
      </c>
      <c r="H17" s="7">
        <f t="shared" si="2"/>
        <v>166.66666666666666</v>
      </c>
      <c r="I17" s="6"/>
      <c r="J17" s="7">
        <f t="shared" si="3"/>
        <v>0</v>
      </c>
      <c r="K17" s="6">
        <v>6</v>
      </c>
      <c r="L17" s="7">
        <f t="shared" si="4"/>
        <v>136.84210526315789</v>
      </c>
      <c r="M17" s="6"/>
      <c r="N17" s="7">
        <f t="shared" si="5"/>
        <v>0</v>
      </c>
      <c r="O17" s="8">
        <f t="shared" si="6"/>
        <v>303.50877192982455</v>
      </c>
      <c r="P17" s="6">
        <f t="shared" si="7"/>
        <v>2</v>
      </c>
      <c r="Q17" s="6">
        <f t="shared" si="8"/>
        <v>7</v>
      </c>
      <c r="R17" s="13">
        <f t="shared" si="9"/>
        <v>0.4</v>
      </c>
    </row>
    <row r="18" spans="1:18" x14ac:dyDescent="0.3">
      <c r="A18" s="5">
        <f t="shared" si="0"/>
        <v>8</v>
      </c>
      <c r="B18" s="6" t="s">
        <v>350</v>
      </c>
      <c r="C18" s="6" t="s">
        <v>351</v>
      </c>
      <c r="D18" s="6" t="s">
        <v>352</v>
      </c>
      <c r="E18" s="6"/>
      <c r="F18" s="7">
        <f t="shared" si="1"/>
        <v>0</v>
      </c>
      <c r="G18" s="6">
        <v>4</v>
      </c>
      <c r="H18" s="7">
        <f t="shared" si="2"/>
        <v>133.33333333333334</v>
      </c>
      <c r="I18" s="6"/>
      <c r="J18" s="7">
        <f t="shared" si="3"/>
        <v>0</v>
      </c>
      <c r="K18" s="6">
        <v>16</v>
      </c>
      <c r="L18" s="7">
        <f t="shared" si="4"/>
        <v>31.578947368421051</v>
      </c>
      <c r="M18" s="6">
        <v>9</v>
      </c>
      <c r="N18" s="7">
        <f t="shared" si="5"/>
        <v>61.53846153846154</v>
      </c>
      <c r="O18" s="8">
        <f t="shared" si="6"/>
        <v>226.45074224021593</v>
      </c>
      <c r="P18" s="6">
        <f t="shared" si="7"/>
        <v>3</v>
      </c>
      <c r="Q18" s="6">
        <f t="shared" si="8"/>
        <v>8</v>
      </c>
      <c r="R18" s="13">
        <f t="shared" si="9"/>
        <v>0.6</v>
      </c>
    </row>
    <row r="19" spans="1:18" x14ac:dyDescent="0.3">
      <c r="A19" s="5">
        <f t="shared" si="0"/>
        <v>9</v>
      </c>
      <c r="B19" s="6" t="s">
        <v>283</v>
      </c>
      <c r="C19" s="6" t="s">
        <v>284</v>
      </c>
      <c r="D19" s="6" t="s">
        <v>72</v>
      </c>
      <c r="E19" s="6">
        <v>10</v>
      </c>
      <c r="F19" s="7">
        <f t="shared" si="1"/>
        <v>46.153846153846153</v>
      </c>
      <c r="G19" s="6">
        <v>9</v>
      </c>
      <c r="H19" s="7">
        <f t="shared" si="2"/>
        <v>50</v>
      </c>
      <c r="I19" s="6"/>
      <c r="J19" s="7">
        <f t="shared" si="3"/>
        <v>0</v>
      </c>
      <c r="K19" s="6">
        <v>11</v>
      </c>
      <c r="L19" s="7">
        <f t="shared" si="4"/>
        <v>84.21052631578948</v>
      </c>
      <c r="M19" s="6"/>
      <c r="N19" s="7">
        <f t="shared" si="5"/>
        <v>0</v>
      </c>
      <c r="O19" s="8">
        <f t="shared" si="6"/>
        <v>180.36437246963564</v>
      </c>
      <c r="P19" s="6">
        <f t="shared" si="7"/>
        <v>3</v>
      </c>
      <c r="Q19" s="6">
        <f t="shared" si="8"/>
        <v>9</v>
      </c>
      <c r="R19" s="13">
        <f t="shared" si="9"/>
        <v>0.6</v>
      </c>
    </row>
    <row r="20" spans="1:18" x14ac:dyDescent="0.3">
      <c r="A20" s="5">
        <f t="shared" si="0"/>
        <v>10</v>
      </c>
      <c r="B20" s="6" t="s">
        <v>573</v>
      </c>
      <c r="C20" s="6" t="s">
        <v>281</v>
      </c>
      <c r="D20" s="6" t="s">
        <v>282</v>
      </c>
      <c r="E20" s="6">
        <v>7</v>
      </c>
      <c r="F20" s="7">
        <f t="shared" si="1"/>
        <v>92.307692307692307</v>
      </c>
      <c r="G20" s="6">
        <v>10</v>
      </c>
      <c r="H20" s="7">
        <f t="shared" si="2"/>
        <v>33.333333333333336</v>
      </c>
      <c r="I20" s="6"/>
      <c r="J20" s="7">
        <f t="shared" si="3"/>
        <v>0</v>
      </c>
      <c r="K20" s="6"/>
      <c r="L20" s="7">
        <f t="shared" si="4"/>
        <v>0</v>
      </c>
      <c r="M20" s="6">
        <v>11</v>
      </c>
      <c r="N20" s="7">
        <f t="shared" si="5"/>
        <v>30.76923076923077</v>
      </c>
      <c r="O20" s="8">
        <f t="shared" si="6"/>
        <v>156.41025641025641</v>
      </c>
      <c r="P20" s="6">
        <f t="shared" si="7"/>
        <v>3</v>
      </c>
      <c r="Q20" s="6">
        <f t="shared" si="8"/>
        <v>10</v>
      </c>
      <c r="R20" s="13">
        <f t="shared" si="9"/>
        <v>0.6</v>
      </c>
    </row>
    <row r="21" spans="1:18" x14ac:dyDescent="0.3">
      <c r="A21" s="5">
        <f t="shared" si="0"/>
        <v>11</v>
      </c>
      <c r="B21" s="6" t="s">
        <v>99</v>
      </c>
      <c r="C21" s="6" t="s">
        <v>138</v>
      </c>
      <c r="D21" s="6" t="s">
        <v>58</v>
      </c>
      <c r="E21" s="6">
        <v>3</v>
      </c>
      <c r="F21" s="7">
        <f t="shared" si="1"/>
        <v>153.84615384615384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153.84615384615384</v>
      </c>
      <c r="P21" s="6">
        <f t="shared" si="7"/>
        <v>1</v>
      </c>
      <c r="Q21" s="6">
        <f t="shared" si="8"/>
        <v>11</v>
      </c>
      <c r="R21" s="13">
        <f t="shared" si="9"/>
        <v>0.2</v>
      </c>
    </row>
    <row r="22" spans="1:18" x14ac:dyDescent="0.3">
      <c r="A22" s="5">
        <f t="shared" si="0"/>
        <v>12</v>
      </c>
      <c r="B22" s="6" t="s">
        <v>579</v>
      </c>
      <c r="C22" s="6" t="s">
        <v>580</v>
      </c>
      <c r="D22" s="6" t="s">
        <v>58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>
        <v>3</v>
      </c>
      <c r="N22" s="7">
        <f t="shared" si="5"/>
        <v>153.84615384615384</v>
      </c>
      <c r="O22" s="8">
        <f t="shared" si="6"/>
        <v>153.84615384615384</v>
      </c>
      <c r="P22" s="6">
        <f t="shared" si="7"/>
        <v>1</v>
      </c>
      <c r="Q22" s="6">
        <f t="shared" si="8"/>
        <v>12</v>
      </c>
      <c r="R22" s="13">
        <f t="shared" si="9"/>
        <v>0.2</v>
      </c>
    </row>
    <row r="23" spans="1:18" x14ac:dyDescent="0.3">
      <c r="A23" s="5">
        <f t="shared" si="0"/>
        <v>13</v>
      </c>
      <c r="B23" s="6" t="s">
        <v>481</v>
      </c>
      <c r="C23" s="6" t="s">
        <v>86</v>
      </c>
      <c r="D23" s="6" t="s">
        <v>72</v>
      </c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>
        <v>5</v>
      </c>
      <c r="L23" s="7">
        <f t="shared" si="4"/>
        <v>147.36842105263159</v>
      </c>
      <c r="M23" s="6"/>
      <c r="N23" s="7">
        <f t="shared" si="5"/>
        <v>0</v>
      </c>
      <c r="O23" s="8">
        <f t="shared" si="6"/>
        <v>147.36842105263159</v>
      </c>
      <c r="P23" s="6">
        <f t="shared" si="7"/>
        <v>1</v>
      </c>
      <c r="Q23" s="6">
        <f t="shared" si="8"/>
        <v>13</v>
      </c>
      <c r="R23" s="13">
        <f t="shared" si="9"/>
        <v>0.2</v>
      </c>
    </row>
    <row r="24" spans="1:18" x14ac:dyDescent="0.3">
      <c r="A24" s="5">
        <f t="shared" si="0"/>
        <v>14</v>
      </c>
      <c r="B24" s="6" t="s">
        <v>277</v>
      </c>
      <c r="C24" s="6" t="s">
        <v>180</v>
      </c>
      <c r="D24" s="6" t="s">
        <v>278</v>
      </c>
      <c r="E24" s="6">
        <v>5</v>
      </c>
      <c r="F24" s="7">
        <f t="shared" si="1"/>
        <v>123.07692307692308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8">
        <f t="shared" si="6"/>
        <v>123.07692307692308</v>
      </c>
      <c r="P24" s="6">
        <f t="shared" si="7"/>
        <v>1</v>
      </c>
      <c r="Q24" s="6">
        <f t="shared" si="8"/>
        <v>14</v>
      </c>
      <c r="R24" s="13">
        <f t="shared" si="9"/>
        <v>0.2</v>
      </c>
    </row>
    <row r="25" spans="1:18" x14ac:dyDescent="0.3">
      <c r="A25" s="6">
        <f t="shared" si="0"/>
        <v>15</v>
      </c>
      <c r="B25" s="6" t="s">
        <v>353</v>
      </c>
      <c r="C25" s="6" t="s">
        <v>354</v>
      </c>
      <c r="D25" s="6" t="s">
        <v>352</v>
      </c>
      <c r="E25" s="6"/>
      <c r="F25" s="7">
        <f t="shared" si="1"/>
        <v>0</v>
      </c>
      <c r="G25" s="6">
        <v>5</v>
      </c>
      <c r="H25" s="7">
        <f t="shared" si="2"/>
        <v>116.66666666666667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8">
        <f t="shared" si="6"/>
        <v>116.66666666666667</v>
      </c>
      <c r="P25" s="6">
        <f t="shared" si="7"/>
        <v>1</v>
      </c>
      <c r="Q25" s="6">
        <f t="shared" si="8"/>
        <v>15</v>
      </c>
      <c r="R25" s="13">
        <f t="shared" si="9"/>
        <v>0.2</v>
      </c>
    </row>
    <row r="26" spans="1:18" x14ac:dyDescent="0.3">
      <c r="A26" s="6">
        <f t="shared" si="0"/>
        <v>16</v>
      </c>
      <c r="B26" s="6" t="s">
        <v>482</v>
      </c>
      <c r="C26" s="6" t="s">
        <v>483</v>
      </c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6">
        <v>8</v>
      </c>
      <c r="L26" s="7">
        <f t="shared" si="4"/>
        <v>115.78947368421052</v>
      </c>
      <c r="M26" s="6"/>
      <c r="N26" s="7">
        <f t="shared" si="5"/>
        <v>0</v>
      </c>
      <c r="O26" s="8">
        <f t="shared" si="6"/>
        <v>115.78947368421052</v>
      </c>
      <c r="P26" s="6">
        <f t="shared" si="7"/>
        <v>1</v>
      </c>
      <c r="Q26" s="6">
        <f t="shared" si="8"/>
        <v>16</v>
      </c>
      <c r="R26" s="13">
        <f t="shared" si="9"/>
        <v>0.2</v>
      </c>
    </row>
    <row r="27" spans="1:18" x14ac:dyDescent="0.3">
      <c r="A27" s="5">
        <f t="shared" si="0"/>
        <v>17</v>
      </c>
      <c r="B27" s="6" t="s">
        <v>193</v>
      </c>
      <c r="C27" s="15" t="s">
        <v>285</v>
      </c>
      <c r="D27" s="6" t="s">
        <v>48</v>
      </c>
      <c r="E27" s="6">
        <v>12</v>
      </c>
      <c r="F27" s="7">
        <f t="shared" si="1"/>
        <v>15.384615384615385</v>
      </c>
      <c r="G27" s="6"/>
      <c r="H27" s="7">
        <f t="shared" si="2"/>
        <v>0</v>
      </c>
      <c r="I27" s="6"/>
      <c r="J27" s="7">
        <f t="shared" si="3"/>
        <v>0</v>
      </c>
      <c r="K27" s="6">
        <v>10</v>
      </c>
      <c r="L27" s="7">
        <f t="shared" si="4"/>
        <v>94.736842105263165</v>
      </c>
      <c r="M27" s="6"/>
      <c r="N27" s="7">
        <f t="shared" si="5"/>
        <v>0</v>
      </c>
      <c r="O27" s="8">
        <f t="shared" si="6"/>
        <v>110.12145748987855</v>
      </c>
      <c r="P27" s="6">
        <f t="shared" si="7"/>
        <v>2</v>
      </c>
      <c r="Q27" s="6">
        <f t="shared" si="8"/>
        <v>17</v>
      </c>
      <c r="R27" s="13">
        <f t="shared" si="9"/>
        <v>0.4</v>
      </c>
    </row>
    <row r="28" spans="1:18" x14ac:dyDescent="0.3">
      <c r="A28" s="5">
        <f t="shared" si="0"/>
        <v>18</v>
      </c>
      <c r="B28" s="6" t="s">
        <v>581</v>
      </c>
      <c r="C28" s="6" t="s">
        <v>163</v>
      </c>
      <c r="D28" s="6" t="s">
        <v>48</v>
      </c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>
        <v>6</v>
      </c>
      <c r="N28" s="7">
        <f t="shared" si="5"/>
        <v>107.69230769230769</v>
      </c>
      <c r="O28" s="8">
        <f t="shared" si="6"/>
        <v>107.69230769230769</v>
      </c>
      <c r="P28" s="6">
        <f t="shared" si="7"/>
        <v>1</v>
      </c>
      <c r="Q28" s="6">
        <f t="shared" si="8"/>
        <v>18</v>
      </c>
      <c r="R28" s="13">
        <f t="shared" si="9"/>
        <v>0.2</v>
      </c>
    </row>
    <row r="29" spans="1:18" x14ac:dyDescent="0.3">
      <c r="A29" s="5">
        <f t="shared" si="0"/>
        <v>19</v>
      </c>
      <c r="B29" s="6" t="s">
        <v>490</v>
      </c>
      <c r="C29" s="6" t="s">
        <v>491</v>
      </c>
      <c r="D29" s="6"/>
      <c r="E29" s="6"/>
      <c r="F29" s="7">
        <f>9/2</f>
        <v>4.5</v>
      </c>
      <c r="G29" s="6"/>
      <c r="H29" s="7">
        <f t="shared" si="2"/>
        <v>0</v>
      </c>
      <c r="I29" s="6"/>
      <c r="J29" s="7">
        <f t="shared" si="3"/>
        <v>0</v>
      </c>
      <c r="K29" s="6">
        <v>18</v>
      </c>
      <c r="L29" s="7">
        <f t="shared" si="4"/>
        <v>10.526315789473685</v>
      </c>
      <c r="M29" s="6">
        <v>7</v>
      </c>
      <c r="N29" s="7">
        <f t="shared" si="5"/>
        <v>92.307692307692307</v>
      </c>
      <c r="O29" s="8">
        <f t="shared" si="6"/>
        <v>107.33400809716599</v>
      </c>
      <c r="P29" s="6">
        <f t="shared" si="7"/>
        <v>2</v>
      </c>
      <c r="Q29" s="6">
        <f t="shared" si="8"/>
        <v>19</v>
      </c>
      <c r="R29" s="13">
        <f t="shared" si="9"/>
        <v>0.4</v>
      </c>
    </row>
    <row r="30" spans="1:18" x14ac:dyDescent="0.3">
      <c r="A30" s="5">
        <f t="shared" si="0"/>
        <v>20</v>
      </c>
      <c r="B30" s="6" t="s">
        <v>484</v>
      </c>
      <c r="C30" s="6" t="s">
        <v>369</v>
      </c>
      <c r="D30" s="6"/>
      <c r="E30" s="6"/>
      <c r="F30" s="7">
        <f>IF(E30=0,,($E$9-E30)*$E$7*100/$E$9)</f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9</v>
      </c>
      <c r="L30" s="7">
        <f t="shared" si="4"/>
        <v>105.26315789473684</v>
      </c>
      <c r="M30" s="6"/>
      <c r="N30" s="7">
        <f t="shared" si="5"/>
        <v>0</v>
      </c>
      <c r="O30" s="8">
        <f t="shared" si="6"/>
        <v>105.26315789473684</v>
      </c>
      <c r="P30" s="6">
        <f t="shared" si="7"/>
        <v>1</v>
      </c>
      <c r="Q30" s="6">
        <f t="shared" si="8"/>
        <v>20</v>
      </c>
      <c r="R30" s="13">
        <f t="shared" si="9"/>
        <v>0.2</v>
      </c>
    </row>
    <row r="31" spans="1:18" x14ac:dyDescent="0.3">
      <c r="A31" s="5">
        <f t="shared" si="0"/>
        <v>21</v>
      </c>
      <c r="B31" s="6" t="s">
        <v>596</v>
      </c>
      <c r="C31" s="6" t="s">
        <v>597</v>
      </c>
      <c r="D31" s="6" t="s">
        <v>598</v>
      </c>
      <c r="E31" s="6"/>
      <c r="F31" s="7">
        <f>7/2</f>
        <v>3.5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>
        <v>8</v>
      </c>
      <c r="N31" s="7">
        <f t="shared" si="5"/>
        <v>76.92307692307692</v>
      </c>
      <c r="O31" s="8">
        <f t="shared" si="6"/>
        <v>80.42307692307692</v>
      </c>
      <c r="P31" s="6">
        <f t="shared" si="7"/>
        <v>1</v>
      </c>
      <c r="Q31" s="6">
        <f t="shared" si="8"/>
        <v>21</v>
      </c>
      <c r="R31" s="13">
        <f t="shared" si="9"/>
        <v>0.2</v>
      </c>
    </row>
    <row r="32" spans="1:18" x14ac:dyDescent="0.3">
      <c r="A32" s="5">
        <f t="shared" si="0"/>
        <v>22</v>
      </c>
      <c r="B32" s="6" t="s">
        <v>153</v>
      </c>
      <c r="C32" s="6" t="s">
        <v>64</v>
      </c>
      <c r="D32" s="6" t="s">
        <v>72</v>
      </c>
      <c r="E32" s="6">
        <v>13</v>
      </c>
      <c r="F32" s="7">
        <f>15/2</f>
        <v>7.5</v>
      </c>
      <c r="G32" s="6"/>
      <c r="H32" s="7">
        <f t="shared" si="2"/>
        <v>0</v>
      </c>
      <c r="I32" s="6"/>
      <c r="J32" s="7">
        <f t="shared" si="3"/>
        <v>0</v>
      </c>
      <c r="K32" s="6">
        <v>15</v>
      </c>
      <c r="L32" s="7">
        <f t="shared" si="4"/>
        <v>42.10526315789474</v>
      </c>
      <c r="M32" s="6">
        <v>12</v>
      </c>
      <c r="N32" s="7">
        <f t="shared" si="5"/>
        <v>15.384615384615385</v>
      </c>
      <c r="O32" s="8">
        <f t="shared" si="6"/>
        <v>64.989878542510127</v>
      </c>
      <c r="P32" s="6">
        <f t="shared" si="7"/>
        <v>3</v>
      </c>
      <c r="Q32" s="6">
        <f t="shared" si="8"/>
        <v>22</v>
      </c>
      <c r="R32" s="13">
        <f t="shared" si="9"/>
        <v>0.6</v>
      </c>
    </row>
    <row r="33" spans="1:18" x14ac:dyDescent="0.3">
      <c r="A33" s="5">
        <f t="shared" si="0"/>
        <v>23</v>
      </c>
      <c r="B33" s="6" t="s">
        <v>485</v>
      </c>
      <c r="C33" s="6" t="s">
        <v>486</v>
      </c>
      <c r="D33" s="6"/>
      <c r="E33" s="6"/>
      <c r="F33" s="7">
        <f t="shared" ref="F33:F38" si="10">IF(E33=0,,($E$9-E33)*$E$7*100/$E$9)</f>
        <v>0</v>
      </c>
      <c r="G33" s="6"/>
      <c r="H33" s="7">
        <f t="shared" si="2"/>
        <v>0</v>
      </c>
      <c r="I33" s="6"/>
      <c r="J33" s="7">
        <f t="shared" si="3"/>
        <v>0</v>
      </c>
      <c r="K33" s="6">
        <v>13</v>
      </c>
      <c r="L33" s="7">
        <f t="shared" si="4"/>
        <v>63.157894736842103</v>
      </c>
      <c r="M33" s="6"/>
      <c r="N33" s="7">
        <f t="shared" si="5"/>
        <v>0</v>
      </c>
      <c r="O33" s="8">
        <f t="shared" si="6"/>
        <v>63.157894736842103</v>
      </c>
      <c r="P33" s="6">
        <f t="shared" si="7"/>
        <v>1</v>
      </c>
      <c r="Q33" s="6">
        <f t="shared" si="8"/>
        <v>23</v>
      </c>
      <c r="R33" s="13">
        <f t="shared" si="9"/>
        <v>0.2</v>
      </c>
    </row>
    <row r="34" spans="1:18" x14ac:dyDescent="0.3">
      <c r="A34" s="5">
        <f t="shared" si="0"/>
        <v>24</v>
      </c>
      <c r="B34" s="6" t="s">
        <v>487</v>
      </c>
      <c r="C34" s="6" t="s">
        <v>69</v>
      </c>
      <c r="D34" s="6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3"/>
        <v>0</v>
      </c>
      <c r="K34" s="6">
        <v>14</v>
      </c>
      <c r="L34" s="7">
        <f t="shared" si="4"/>
        <v>52.631578947368418</v>
      </c>
      <c r="M34" s="6"/>
      <c r="N34" s="7">
        <f t="shared" si="5"/>
        <v>0</v>
      </c>
      <c r="O34" s="8">
        <f t="shared" si="6"/>
        <v>52.631578947368418</v>
      </c>
      <c r="P34" s="6">
        <f t="shared" si="7"/>
        <v>1</v>
      </c>
      <c r="Q34" s="6">
        <f t="shared" si="8"/>
        <v>24</v>
      </c>
      <c r="R34" s="13">
        <f t="shared" si="9"/>
        <v>0.2</v>
      </c>
    </row>
    <row r="35" spans="1:18" x14ac:dyDescent="0.3">
      <c r="A35" s="5">
        <f t="shared" si="0"/>
        <v>25</v>
      </c>
      <c r="B35" s="6" t="s">
        <v>576</v>
      </c>
      <c r="C35" s="6" t="s">
        <v>582</v>
      </c>
      <c r="D35" s="6" t="s">
        <v>58</v>
      </c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>
        <v>10</v>
      </c>
      <c r="N35" s="7">
        <f t="shared" si="5"/>
        <v>46.153846153846153</v>
      </c>
      <c r="O35" s="8">
        <f t="shared" si="6"/>
        <v>46.153846153846153</v>
      </c>
      <c r="P35" s="6">
        <f t="shared" si="7"/>
        <v>1</v>
      </c>
      <c r="Q35" s="6">
        <f t="shared" si="8"/>
        <v>25</v>
      </c>
      <c r="R35" s="13">
        <f t="shared" si="9"/>
        <v>0.2</v>
      </c>
    </row>
    <row r="36" spans="1:18" x14ac:dyDescent="0.3">
      <c r="A36" s="5">
        <f t="shared" si="0"/>
        <v>26</v>
      </c>
      <c r="B36" s="6" t="s">
        <v>157</v>
      </c>
      <c r="C36" s="6" t="s">
        <v>140</v>
      </c>
      <c r="D36" s="6" t="s">
        <v>72</v>
      </c>
      <c r="E36" s="6">
        <v>11</v>
      </c>
      <c r="F36" s="7">
        <f t="shared" si="10"/>
        <v>30.76923076923077</v>
      </c>
      <c r="G36" s="6">
        <v>12</v>
      </c>
      <c r="H36" s="7">
        <f>17/2</f>
        <v>8.5</v>
      </c>
      <c r="I36" s="6"/>
      <c r="J36" s="7">
        <f t="shared" si="3"/>
        <v>0</v>
      </c>
      <c r="K36" s="6">
        <v>19</v>
      </c>
      <c r="L36" s="7">
        <f>11/2</f>
        <v>5.5</v>
      </c>
      <c r="M36" s="6">
        <v>13</v>
      </c>
      <c r="N36" s="7">
        <f t="shared" si="5"/>
        <v>0</v>
      </c>
      <c r="O36" s="8">
        <f t="shared" si="6"/>
        <v>44.769230769230774</v>
      </c>
      <c r="P36" s="6">
        <f t="shared" si="7"/>
        <v>4</v>
      </c>
      <c r="Q36" s="6">
        <f t="shared" si="8"/>
        <v>26</v>
      </c>
      <c r="R36" s="13">
        <f t="shared" si="9"/>
        <v>0.8</v>
      </c>
    </row>
    <row r="37" spans="1:18" x14ac:dyDescent="0.3">
      <c r="A37" s="5">
        <f t="shared" si="0"/>
        <v>27</v>
      </c>
      <c r="B37" s="6" t="s">
        <v>488</v>
      </c>
      <c r="C37" s="6" t="s">
        <v>489</v>
      </c>
      <c r="D37" s="6"/>
      <c r="E37" s="6"/>
      <c r="F37" s="7">
        <f t="shared" si="10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6">
        <v>17</v>
      </c>
      <c r="L37" s="7">
        <f>IF(K37=0,,($K$9-K37)*$K$7*100/$K$9)</f>
        <v>21.05263157894737</v>
      </c>
      <c r="M37" s="6"/>
      <c r="N37" s="7">
        <f t="shared" si="5"/>
        <v>0</v>
      </c>
      <c r="O37" s="8">
        <f t="shared" si="6"/>
        <v>21.05263157894737</v>
      </c>
      <c r="P37" s="6">
        <f t="shared" si="7"/>
        <v>1</v>
      </c>
      <c r="Q37" s="6">
        <f t="shared" si="8"/>
        <v>27</v>
      </c>
      <c r="R37" s="13">
        <f t="shared" si="9"/>
        <v>0.2</v>
      </c>
    </row>
    <row r="38" spans="1:18" x14ac:dyDescent="0.3">
      <c r="A38" s="5">
        <f t="shared" si="0"/>
        <v>28</v>
      </c>
      <c r="B38" s="6" t="s">
        <v>349</v>
      </c>
      <c r="C38" s="6" t="s">
        <v>84</v>
      </c>
      <c r="D38" s="6" t="s">
        <v>282</v>
      </c>
      <c r="E38" s="6"/>
      <c r="F38" s="7">
        <f t="shared" si="10"/>
        <v>0</v>
      </c>
      <c r="G38" s="6">
        <v>11</v>
      </c>
      <c r="H38" s="7">
        <f>IF(G38=0,,($G$9-G38)*$G$7*100/$G$9)</f>
        <v>16.666666666666668</v>
      </c>
      <c r="I38" s="6"/>
      <c r="J38" s="7">
        <f t="shared" si="3"/>
        <v>0</v>
      </c>
      <c r="K38" s="6"/>
      <c r="L38" s="7">
        <f>IF(K38=0,,($K$9-K38)*$K$7*100/$K$9)</f>
        <v>0</v>
      </c>
      <c r="M38" s="6"/>
      <c r="N38" s="7">
        <f t="shared" si="5"/>
        <v>0</v>
      </c>
      <c r="O38" s="8">
        <f t="shared" si="6"/>
        <v>16.666666666666668</v>
      </c>
      <c r="P38" s="6">
        <f t="shared" si="7"/>
        <v>1</v>
      </c>
      <c r="Q38" s="6">
        <f t="shared" si="8"/>
        <v>28</v>
      </c>
      <c r="R38" s="13">
        <f t="shared" si="9"/>
        <v>0.2</v>
      </c>
    </row>
    <row r="39" spans="1:18" x14ac:dyDescent="0.3">
      <c r="A39" s="5">
        <f t="shared" ref="A39:A52" si="11">Q39</f>
        <v>29</v>
      </c>
      <c r="B39" s="6"/>
      <c r="C39" s="6"/>
      <c r="D39" s="6"/>
      <c r="E39" s="6"/>
      <c r="F39" s="7">
        <f t="shared" ref="F39:F52" si="12">IF(E39=0,,($E$9-E39)*$E$7*100/$E$9)</f>
        <v>0</v>
      </c>
      <c r="G39" s="6"/>
      <c r="H39" s="7">
        <f t="shared" ref="H39:H52" si="13">IF(G39=0,,($G$9-G39)*$G$7*100/$G$9)</f>
        <v>0</v>
      </c>
      <c r="I39" s="6"/>
      <c r="J39" s="7">
        <f t="shared" ref="J39:J52" si="14">IF(I39=0,,($I$9-I39)*$I$7*100/$I$9)</f>
        <v>0</v>
      </c>
      <c r="K39" s="6"/>
      <c r="L39" s="7">
        <f t="shared" ref="L39:L52" si="15">IF(K39=0,,($K$9-K39)*$K$7*100/$K$9)</f>
        <v>0</v>
      </c>
      <c r="M39" s="6"/>
      <c r="N39" s="7">
        <f t="shared" ref="N39:N48" si="16">IF(M39=0,,($M$9-M39)*$M$7*100/$M$9)</f>
        <v>0</v>
      </c>
      <c r="O39" s="8">
        <f t="shared" ref="O39:O52" si="17">F39+H39+J39+L39+N39</f>
        <v>0</v>
      </c>
      <c r="P39" s="6">
        <f t="shared" ref="P39:P52" si="18">COUNTA(E39,G39,I39,K39,M39)</f>
        <v>0</v>
      </c>
      <c r="Q39" s="6">
        <f t="shared" ref="Q39:Q52" si="19">ROW(B39)-10</f>
        <v>29</v>
      </c>
      <c r="R39" s="13">
        <f t="shared" ref="R39:R52" si="20">P39/$G$3</f>
        <v>0</v>
      </c>
    </row>
    <row r="40" spans="1:18" x14ac:dyDescent="0.3">
      <c r="A40" s="5">
        <f t="shared" si="11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13"/>
        <v>0</v>
      </c>
      <c r="I40" s="6"/>
      <c r="J40" s="7">
        <f t="shared" si="14"/>
        <v>0</v>
      </c>
      <c r="K40" s="6"/>
      <c r="L40" s="7">
        <f t="shared" si="15"/>
        <v>0</v>
      </c>
      <c r="M40" s="6"/>
      <c r="N40" s="7">
        <f t="shared" si="16"/>
        <v>0</v>
      </c>
      <c r="O40" s="8">
        <f t="shared" si="17"/>
        <v>0</v>
      </c>
      <c r="P40" s="6">
        <f t="shared" si="18"/>
        <v>0</v>
      </c>
      <c r="Q40" s="6">
        <f t="shared" si="19"/>
        <v>30</v>
      </c>
      <c r="R40" s="13">
        <f t="shared" si="20"/>
        <v>0</v>
      </c>
    </row>
    <row r="41" spans="1:18" x14ac:dyDescent="0.3">
      <c r="A41" s="5">
        <f t="shared" si="11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13"/>
        <v>0</v>
      </c>
      <c r="I41" s="6"/>
      <c r="J41" s="7">
        <f t="shared" si="14"/>
        <v>0</v>
      </c>
      <c r="K41" s="6"/>
      <c r="L41" s="7">
        <f t="shared" si="15"/>
        <v>0</v>
      </c>
      <c r="M41" s="6"/>
      <c r="N41" s="7">
        <f t="shared" si="16"/>
        <v>0</v>
      </c>
      <c r="O41" s="8">
        <f t="shared" si="17"/>
        <v>0</v>
      </c>
      <c r="P41" s="6">
        <f t="shared" si="18"/>
        <v>0</v>
      </c>
      <c r="Q41" s="6">
        <f t="shared" si="19"/>
        <v>31</v>
      </c>
      <c r="R41" s="13">
        <f t="shared" si="20"/>
        <v>0</v>
      </c>
    </row>
    <row r="42" spans="1:18" x14ac:dyDescent="0.3">
      <c r="A42" s="5">
        <f t="shared" si="11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13"/>
        <v>0</v>
      </c>
      <c r="I42" s="6"/>
      <c r="J42" s="7">
        <f t="shared" si="14"/>
        <v>0</v>
      </c>
      <c r="K42" s="6"/>
      <c r="L42" s="7">
        <f t="shared" si="15"/>
        <v>0</v>
      </c>
      <c r="M42" s="6"/>
      <c r="N42" s="7">
        <f t="shared" si="16"/>
        <v>0</v>
      </c>
      <c r="O42" s="8">
        <f t="shared" si="17"/>
        <v>0</v>
      </c>
      <c r="P42" s="6">
        <f t="shared" si="18"/>
        <v>0</v>
      </c>
      <c r="Q42" s="6">
        <f t="shared" si="19"/>
        <v>32</v>
      </c>
      <c r="R42" s="13">
        <f t="shared" si="20"/>
        <v>0</v>
      </c>
    </row>
    <row r="43" spans="1:18" x14ac:dyDescent="0.3">
      <c r="A43" s="5">
        <f t="shared" si="11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13"/>
        <v>0</v>
      </c>
      <c r="I43" s="6"/>
      <c r="J43" s="7">
        <f t="shared" si="14"/>
        <v>0</v>
      </c>
      <c r="K43" s="6"/>
      <c r="L43" s="7">
        <f t="shared" si="15"/>
        <v>0</v>
      </c>
      <c r="M43" s="6"/>
      <c r="N43" s="7">
        <f t="shared" si="16"/>
        <v>0</v>
      </c>
      <c r="O43" s="8">
        <f t="shared" si="17"/>
        <v>0</v>
      </c>
      <c r="P43" s="6">
        <f t="shared" si="18"/>
        <v>0</v>
      </c>
      <c r="Q43" s="6">
        <f t="shared" si="19"/>
        <v>33</v>
      </c>
      <c r="R43" s="13">
        <f t="shared" si="20"/>
        <v>0</v>
      </c>
    </row>
    <row r="44" spans="1:18" x14ac:dyDescent="0.3">
      <c r="A44" s="5">
        <f t="shared" si="11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13"/>
        <v>0</v>
      </c>
      <c r="I44" s="6"/>
      <c r="J44" s="7">
        <f t="shared" si="14"/>
        <v>0</v>
      </c>
      <c r="K44" s="6"/>
      <c r="L44" s="7">
        <f t="shared" si="15"/>
        <v>0</v>
      </c>
      <c r="M44" s="6"/>
      <c r="N44" s="7">
        <f t="shared" si="16"/>
        <v>0</v>
      </c>
      <c r="O44" s="8">
        <f t="shared" si="17"/>
        <v>0</v>
      </c>
      <c r="P44" s="6">
        <f t="shared" si="18"/>
        <v>0</v>
      </c>
      <c r="Q44" s="6">
        <f t="shared" si="19"/>
        <v>34</v>
      </c>
      <c r="R44" s="13">
        <f t="shared" si="20"/>
        <v>0</v>
      </c>
    </row>
    <row r="45" spans="1:18" x14ac:dyDescent="0.3">
      <c r="A45" s="5">
        <f t="shared" si="11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13"/>
        <v>0</v>
      </c>
      <c r="I45" s="6"/>
      <c r="J45" s="7">
        <f t="shared" si="14"/>
        <v>0</v>
      </c>
      <c r="K45" s="6"/>
      <c r="L45" s="7">
        <f t="shared" si="15"/>
        <v>0</v>
      </c>
      <c r="M45" s="6"/>
      <c r="N45" s="7">
        <f t="shared" si="16"/>
        <v>0</v>
      </c>
      <c r="O45" s="8">
        <f t="shared" si="17"/>
        <v>0</v>
      </c>
      <c r="P45" s="6">
        <f t="shared" si="18"/>
        <v>0</v>
      </c>
      <c r="Q45" s="6">
        <f t="shared" si="19"/>
        <v>35</v>
      </c>
      <c r="R45" s="13">
        <f t="shared" si="20"/>
        <v>0</v>
      </c>
    </row>
    <row r="46" spans="1:18" x14ac:dyDescent="0.3">
      <c r="A46" s="5">
        <f t="shared" si="11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13"/>
        <v>0</v>
      </c>
      <c r="I46" s="6"/>
      <c r="J46" s="7">
        <f t="shared" si="14"/>
        <v>0</v>
      </c>
      <c r="K46" s="6"/>
      <c r="L46" s="7">
        <f t="shared" si="15"/>
        <v>0</v>
      </c>
      <c r="M46" s="6"/>
      <c r="N46" s="7">
        <f t="shared" si="16"/>
        <v>0</v>
      </c>
      <c r="O46" s="8">
        <f t="shared" si="17"/>
        <v>0</v>
      </c>
      <c r="P46" s="6">
        <f t="shared" si="18"/>
        <v>0</v>
      </c>
      <c r="Q46" s="6">
        <f t="shared" si="19"/>
        <v>36</v>
      </c>
      <c r="R46" s="13">
        <f t="shared" si="20"/>
        <v>0</v>
      </c>
    </row>
    <row r="47" spans="1:18" x14ac:dyDescent="0.3">
      <c r="A47" s="5">
        <f t="shared" si="11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13"/>
        <v>0</v>
      </c>
      <c r="I47" s="6"/>
      <c r="J47" s="7">
        <f t="shared" si="14"/>
        <v>0</v>
      </c>
      <c r="K47" s="6"/>
      <c r="L47" s="7">
        <f t="shared" si="15"/>
        <v>0</v>
      </c>
      <c r="M47" s="6"/>
      <c r="N47" s="7">
        <f t="shared" si="16"/>
        <v>0</v>
      </c>
      <c r="O47" s="8">
        <f t="shared" si="17"/>
        <v>0</v>
      </c>
      <c r="P47" s="6">
        <f t="shared" si="18"/>
        <v>0</v>
      </c>
      <c r="Q47" s="6">
        <f t="shared" si="19"/>
        <v>37</v>
      </c>
      <c r="R47" s="13">
        <f t="shared" si="20"/>
        <v>0</v>
      </c>
    </row>
    <row r="48" spans="1:18" x14ac:dyDescent="0.3">
      <c r="A48" s="5">
        <f t="shared" si="11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13"/>
        <v>0</v>
      </c>
      <c r="I48" s="6"/>
      <c r="J48" s="7">
        <f t="shared" si="14"/>
        <v>0</v>
      </c>
      <c r="K48" s="6"/>
      <c r="L48" s="7">
        <f t="shared" si="15"/>
        <v>0</v>
      </c>
      <c r="M48" s="6"/>
      <c r="N48" s="7">
        <f t="shared" si="16"/>
        <v>0</v>
      </c>
      <c r="O48" s="8">
        <f t="shared" si="17"/>
        <v>0</v>
      </c>
      <c r="P48" s="6">
        <f t="shared" si="18"/>
        <v>0</v>
      </c>
      <c r="Q48" s="6">
        <f t="shared" si="19"/>
        <v>38</v>
      </c>
      <c r="R48" s="13">
        <f t="shared" si="20"/>
        <v>0</v>
      </c>
    </row>
    <row r="49" spans="1:18" x14ac:dyDescent="0.3">
      <c r="A49" s="5">
        <f t="shared" si="11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si="13"/>
        <v>0</v>
      </c>
      <c r="I49" s="6"/>
      <c r="J49" s="7">
        <f t="shared" si="14"/>
        <v>0</v>
      </c>
      <c r="K49" s="6"/>
      <c r="L49" s="7">
        <f t="shared" si="15"/>
        <v>0</v>
      </c>
      <c r="M49" s="6"/>
      <c r="N49" s="7">
        <f>7/2</f>
        <v>3.5</v>
      </c>
      <c r="O49" s="8">
        <f t="shared" si="17"/>
        <v>3.5</v>
      </c>
      <c r="P49" s="6">
        <f t="shared" si="18"/>
        <v>0</v>
      </c>
      <c r="Q49" s="6">
        <f t="shared" si="19"/>
        <v>39</v>
      </c>
      <c r="R49" s="13">
        <f t="shared" si="20"/>
        <v>0</v>
      </c>
    </row>
    <row r="50" spans="1:18" x14ac:dyDescent="0.3">
      <c r="A50" s="5">
        <f t="shared" si="11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14"/>
        <v>0</v>
      </c>
      <c r="K50" s="6"/>
      <c r="L50" s="7">
        <f t="shared" si="15"/>
        <v>0</v>
      </c>
      <c r="M50" s="6"/>
      <c r="N50" s="7">
        <f>IF(M50=0,,($M$9-M50)*$M$7*100/$M$9)</f>
        <v>0</v>
      </c>
      <c r="O50" s="8">
        <f t="shared" si="17"/>
        <v>0</v>
      </c>
      <c r="P50" s="6">
        <f t="shared" si="18"/>
        <v>0</v>
      </c>
      <c r="Q50" s="6">
        <f t="shared" si="19"/>
        <v>40</v>
      </c>
      <c r="R50" s="13">
        <f t="shared" si="20"/>
        <v>0</v>
      </c>
    </row>
    <row r="51" spans="1:18" x14ac:dyDescent="0.3">
      <c r="A51" s="5">
        <f t="shared" si="11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14"/>
        <v>0</v>
      </c>
      <c r="K51" s="6"/>
      <c r="L51" s="7">
        <f t="shared" si="15"/>
        <v>0</v>
      </c>
      <c r="M51" s="6"/>
      <c r="N51" s="7">
        <f>IF(M51=0,,($M$9-M51)*$M$7*100/$M$9)</f>
        <v>0</v>
      </c>
      <c r="O51" s="8">
        <f t="shared" si="17"/>
        <v>0</v>
      </c>
      <c r="P51" s="6">
        <f t="shared" si="18"/>
        <v>0</v>
      </c>
      <c r="Q51" s="6">
        <f t="shared" si="19"/>
        <v>41</v>
      </c>
      <c r="R51" s="13">
        <f t="shared" si="20"/>
        <v>0</v>
      </c>
    </row>
    <row r="52" spans="1:18" x14ac:dyDescent="0.3">
      <c r="A52" s="5">
        <f t="shared" si="11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14"/>
        <v>0</v>
      </c>
      <c r="K52" s="6"/>
      <c r="L52" s="7">
        <f t="shared" si="15"/>
        <v>0</v>
      </c>
      <c r="M52" s="6"/>
      <c r="N52" s="7">
        <f>IF(M52=0,,($M$9-M52)*$M$7*100/$M$9)</f>
        <v>0</v>
      </c>
      <c r="O52" s="8">
        <f t="shared" si="17"/>
        <v>0</v>
      </c>
      <c r="P52" s="6">
        <f t="shared" si="18"/>
        <v>0</v>
      </c>
      <c r="Q52" s="6">
        <f t="shared" si="19"/>
        <v>42</v>
      </c>
      <c r="R52" s="13">
        <f t="shared" si="20"/>
        <v>0</v>
      </c>
    </row>
    <row r="53" spans="1:18" x14ac:dyDescent="0.3">
      <c r="A53" s="27" t="s">
        <v>18</v>
      </c>
      <c r="B53" s="27"/>
      <c r="C53" s="28"/>
      <c r="E53">
        <f>COUNTA(E11:E52)</f>
        <v>13</v>
      </c>
      <c r="G53">
        <f>COUNTA(G11:G52)</f>
        <v>12</v>
      </c>
      <c r="I53">
        <f>COUNTA(I11:I52)</f>
        <v>0</v>
      </c>
      <c r="K53">
        <f>COUNTA(K11:K52)</f>
        <v>19</v>
      </c>
      <c r="M53">
        <f>COUNTA(M11:M52)</f>
        <v>13</v>
      </c>
    </row>
    <row r="54" spans="1:18" x14ac:dyDescent="0.3">
      <c r="A54" s="30" t="s">
        <v>35</v>
      </c>
      <c r="B54" s="30"/>
      <c r="C54" s="30"/>
      <c r="E54" s="12">
        <f>E53/$G$2</f>
        <v>0.4642857142857143</v>
      </c>
      <c r="G54" s="12">
        <f>G53/$G$2</f>
        <v>0.42857142857142855</v>
      </c>
      <c r="I54" s="12">
        <f>I53/$G$2</f>
        <v>0</v>
      </c>
      <c r="K54" s="12">
        <f>K53/$G$2</f>
        <v>0.6785714285714286</v>
      </c>
      <c r="M54" s="12">
        <f>M53/$G$2</f>
        <v>0.4642857142857143</v>
      </c>
    </row>
  </sheetData>
  <sortState xmlns:xlrd2="http://schemas.microsoft.com/office/spreadsheetml/2017/richdata2" ref="A11:R38">
    <sortCondition descending="1" ref="O11:O38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11" sqref="O11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8" x14ac:dyDescent="0.3">
      <c r="E2" s="31" t="s">
        <v>31</v>
      </c>
      <c r="F2" s="31"/>
      <c r="G2" s="11">
        <f>COUNTA(B11:B52)</f>
        <v>7</v>
      </c>
    </row>
    <row r="3" spans="1:18" x14ac:dyDescent="0.3">
      <c r="B3" s="2"/>
      <c r="E3" s="31" t="s">
        <v>33</v>
      </c>
      <c r="F3" s="31"/>
      <c r="G3" s="11">
        <f>COUNTA(E8:N8)</f>
        <v>5</v>
      </c>
    </row>
    <row r="4" spans="1:18" x14ac:dyDescent="0.3">
      <c r="B4" s="2"/>
      <c r="C4" s="3"/>
    </row>
    <row r="6" spans="1:18" x14ac:dyDescent="0.3">
      <c r="D6" s="1" t="s">
        <v>0</v>
      </c>
      <c r="E6" s="26" t="s">
        <v>269</v>
      </c>
      <c r="F6" s="26"/>
      <c r="G6" s="26" t="s">
        <v>26</v>
      </c>
      <c r="H6" s="26"/>
      <c r="I6" s="26" t="s">
        <v>15</v>
      </c>
      <c r="J6" s="26"/>
      <c r="K6" s="26" t="s">
        <v>270</v>
      </c>
      <c r="L6" s="26"/>
      <c r="M6" s="26" t="s">
        <v>271</v>
      </c>
      <c r="N6" s="26"/>
    </row>
    <row r="7" spans="1:18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  <c r="K7" s="23">
        <v>2</v>
      </c>
      <c r="L7" s="24"/>
      <c r="M7" s="23">
        <v>2</v>
      </c>
      <c r="N7" s="24"/>
    </row>
    <row r="8" spans="1:18" x14ac:dyDescent="0.3">
      <c r="D8" s="1" t="s">
        <v>1</v>
      </c>
      <c r="E8" s="29">
        <v>45578</v>
      </c>
      <c r="F8" s="29"/>
      <c r="G8" s="36">
        <v>45607</v>
      </c>
      <c r="H8" s="37"/>
      <c r="I8" s="36">
        <v>45612</v>
      </c>
      <c r="J8" s="37"/>
      <c r="K8" s="29">
        <v>45683</v>
      </c>
      <c r="L8" s="29"/>
      <c r="M8" s="29">
        <v>45774</v>
      </c>
      <c r="N8" s="29"/>
    </row>
    <row r="9" spans="1:18" x14ac:dyDescent="0.3">
      <c r="D9" s="1" t="s">
        <v>2</v>
      </c>
      <c r="E9" s="26">
        <v>4</v>
      </c>
      <c r="F9" s="26"/>
      <c r="G9" s="23">
        <v>3</v>
      </c>
      <c r="H9" s="24"/>
      <c r="I9" s="23"/>
      <c r="J9" s="24"/>
      <c r="K9" s="26">
        <v>3</v>
      </c>
      <c r="L9" s="26"/>
      <c r="M9" s="26">
        <v>4</v>
      </c>
      <c r="N9" s="26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34</v>
      </c>
      <c r="Q10" s="1" t="s">
        <v>9</v>
      </c>
      <c r="R10" s="1" t="s">
        <v>36</v>
      </c>
    </row>
    <row r="11" spans="1:18" x14ac:dyDescent="0.3">
      <c r="A11" s="5">
        <f t="shared" ref="A11:A16" si="0">Q11</f>
        <v>1</v>
      </c>
      <c r="B11" s="6" t="s">
        <v>188</v>
      </c>
      <c r="C11" s="6" t="s">
        <v>200</v>
      </c>
      <c r="D11" s="6" t="s">
        <v>189</v>
      </c>
      <c r="E11" s="6">
        <v>1</v>
      </c>
      <c r="F11" s="7">
        <f t="shared" ref="F11:F16" si="1">IF(E11=0,,($E$9-E11)*$E$7*100/$E$9)</f>
        <v>150</v>
      </c>
      <c r="G11" s="6">
        <v>2</v>
      </c>
      <c r="H11" s="7">
        <f>IF(G11=0,,($G$9-G11)*$G$7*100/$G$9)</f>
        <v>66.666666666666671</v>
      </c>
      <c r="I11" s="6"/>
      <c r="J11" s="7">
        <f t="shared" ref="J11:J16" si="2">IF(I11=0,,($I$9-I11)*$I$7*100/$I$9)</f>
        <v>0</v>
      </c>
      <c r="K11" s="6">
        <v>1</v>
      </c>
      <c r="L11" s="7">
        <f>IF(K11=0,,($K$9-K11)*$K$7*100/$K$9)</f>
        <v>133.33333333333334</v>
      </c>
      <c r="M11" s="6">
        <v>1</v>
      </c>
      <c r="N11" s="7">
        <f t="shared" ref="N11:N16" si="3">IF(M11=0,,($M$9-M11)*$M$7*100/$M$9)</f>
        <v>150</v>
      </c>
      <c r="O11" s="8">
        <f>F11+H11+J11+L11+N11</f>
        <v>500</v>
      </c>
      <c r="P11" s="6">
        <f t="shared" ref="P11:P16" si="4">COUNTA(E11,G11,I11,K11,M11)</f>
        <v>4</v>
      </c>
      <c r="Q11" s="6">
        <f t="shared" ref="Q11:Q16" si="5">ROW(B11)-10</f>
        <v>1</v>
      </c>
      <c r="R11" s="13">
        <f t="shared" ref="R11:R16" si="6">P11/$G$3</f>
        <v>0.8</v>
      </c>
    </row>
    <row r="12" spans="1:18" x14ac:dyDescent="0.3">
      <c r="A12" s="5">
        <f t="shared" si="0"/>
        <v>2</v>
      </c>
      <c r="B12" s="6" t="s">
        <v>125</v>
      </c>
      <c r="C12" s="6" t="s">
        <v>272</v>
      </c>
      <c r="D12" s="6" t="s">
        <v>72</v>
      </c>
      <c r="E12" s="6">
        <v>2</v>
      </c>
      <c r="F12" s="7">
        <f t="shared" si="1"/>
        <v>100</v>
      </c>
      <c r="G12" s="6">
        <v>1</v>
      </c>
      <c r="H12" s="7">
        <f>IF(G12=0,,($G$9-G12)*$G$7*100/$G$9)</f>
        <v>133.33333333333334</v>
      </c>
      <c r="I12" s="6"/>
      <c r="J12" s="7">
        <f t="shared" si="2"/>
        <v>0</v>
      </c>
      <c r="K12" s="6"/>
      <c r="L12" s="7">
        <f>IF(K12=0,,($K$9-K12)*$K$7*100/$K$9)</f>
        <v>0</v>
      </c>
      <c r="M12" s="6">
        <v>2</v>
      </c>
      <c r="N12" s="7">
        <f t="shared" si="3"/>
        <v>100</v>
      </c>
      <c r="O12" s="8">
        <f t="shared" ref="O12:O16" si="7">F12+H12+J12+L12+N12</f>
        <v>333.33333333333337</v>
      </c>
      <c r="P12" s="6">
        <f t="shared" si="4"/>
        <v>3</v>
      </c>
      <c r="Q12" s="6">
        <f t="shared" si="5"/>
        <v>2</v>
      </c>
      <c r="R12" s="13">
        <f t="shared" si="6"/>
        <v>0.6</v>
      </c>
    </row>
    <row r="13" spans="1:18" x14ac:dyDescent="0.3">
      <c r="A13" s="5">
        <f t="shared" si="0"/>
        <v>3</v>
      </c>
      <c r="B13" s="6" t="s">
        <v>275</v>
      </c>
      <c r="C13" s="6" t="s">
        <v>276</v>
      </c>
      <c r="D13" s="6" t="s">
        <v>48</v>
      </c>
      <c r="E13" s="6">
        <v>3</v>
      </c>
      <c r="F13" s="7">
        <f t="shared" si="1"/>
        <v>50</v>
      </c>
      <c r="G13" s="6">
        <v>3</v>
      </c>
      <c r="H13" s="7">
        <f>67/2</f>
        <v>33.5</v>
      </c>
      <c r="I13" s="6"/>
      <c r="J13" s="7">
        <f t="shared" si="2"/>
        <v>0</v>
      </c>
      <c r="K13" s="6"/>
      <c r="L13" s="7">
        <f>IF(K13=0,,($K$9-K13)*$K$7*100/$K$9)</f>
        <v>0</v>
      </c>
      <c r="M13" s="6">
        <v>3</v>
      </c>
      <c r="N13" s="7">
        <f t="shared" si="3"/>
        <v>50</v>
      </c>
      <c r="O13" s="8">
        <f t="shared" si="7"/>
        <v>133.5</v>
      </c>
      <c r="P13" s="6">
        <f t="shared" si="4"/>
        <v>3</v>
      </c>
      <c r="Q13" s="6">
        <f t="shared" si="5"/>
        <v>3</v>
      </c>
      <c r="R13" s="13">
        <f t="shared" si="6"/>
        <v>0.6</v>
      </c>
    </row>
    <row r="14" spans="1:18" x14ac:dyDescent="0.3">
      <c r="A14" s="5">
        <f t="shared" si="0"/>
        <v>4</v>
      </c>
      <c r="B14" s="6" t="s">
        <v>477</v>
      </c>
      <c r="C14" s="6" t="s">
        <v>478</v>
      </c>
      <c r="D14" s="6" t="s">
        <v>72</v>
      </c>
      <c r="E14" s="6"/>
      <c r="F14" s="7">
        <f t="shared" si="1"/>
        <v>0</v>
      </c>
      <c r="G14" s="6"/>
      <c r="H14" s="7">
        <f>IF(G14=0,,($G$9-G14)*$G$7*100/$G$9)</f>
        <v>0</v>
      </c>
      <c r="I14" s="6"/>
      <c r="J14" s="7">
        <f t="shared" si="2"/>
        <v>0</v>
      </c>
      <c r="K14" s="6">
        <v>2</v>
      </c>
      <c r="L14" s="7">
        <f>IF(K14=0,,($K$9-K14)*$K$7*100/$K$9)</f>
        <v>66.666666666666671</v>
      </c>
      <c r="M14" s="6"/>
      <c r="N14" s="7">
        <f t="shared" si="3"/>
        <v>0</v>
      </c>
      <c r="O14" s="8">
        <f t="shared" si="7"/>
        <v>66.666666666666671</v>
      </c>
      <c r="P14" s="6">
        <f t="shared" si="4"/>
        <v>1</v>
      </c>
      <c r="Q14" s="6">
        <f t="shared" si="5"/>
        <v>4</v>
      </c>
      <c r="R14" s="13">
        <f t="shared" si="6"/>
        <v>0.2</v>
      </c>
    </row>
    <row r="15" spans="1:18" x14ac:dyDescent="0.3">
      <c r="A15" s="5">
        <f t="shared" si="0"/>
        <v>5</v>
      </c>
      <c r="B15" s="6" t="s">
        <v>273</v>
      </c>
      <c r="C15" s="6" t="s">
        <v>274</v>
      </c>
      <c r="D15" s="6" t="s">
        <v>89</v>
      </c>
      <c r="E15" s="6">
        <v>3</v>
      </c>
      <c r="F15" s="7">
        <f t="shared" si="1"/>
        <v>50</v>
      </c>
      <c r="G15" s="6"/>
      <c r="H15" s="7">
        <f>IF(G15=0,,($G$9-G15)*$G$7*100/$G$9)</f>
        <v>0</v>
      </c>
      <c r="I15" s="6"/>
      <c r="J15" s="7">
        <f t="shared" si="2"/>
        <v>0</v>
      </c>
      <c r="K15" s="6"/>
      <c r="L15" s="7">
        <f>IF(K15=0,,($K$9-K15)*$K$7*100/$K$9)</f>
        <v>0</v>
      </c>
      <c r="M15" s="6"/>
      <c r="N15" s="7">
        <f t="shared" si="3"/>
        <v>0</v>
      </c>
      <c r="O15" s="8">
        <f t="shared" si="7"/>
        <v>50</v>
      </c>
      <c r="P15" s="6">
        <f t="shared" si="4"/>
        <v>1</v>
      </c>
      <c r="Q15" s="6">
        <f t="shared" si="5"/>
        <v>5</v>
      </c>
      <c r="R15" s="13">
        <f t="shared" si="6"/>
        <v>0.2</v>
      </c>
    </row>
    <row r="16" spans="1:18" x14ac:dyDescent="0.3">
      <c r="A16" s="5">
        <f t="shared" si="0"/>
        <v>6</v>
      </c>
      <c r="B16" s="6" t="s">
        <v>479</v>
      </c>
      <c r="C16" s="6" t="s">
        <v>480</v>
      </c>
      <c r="D16" s="6" t="s">
        <v>378</v>
      </c>
      <c r="E16" s="6"/>
      <c r="F16" s="7">
        <f t="shared" si="1"/>
        <v>0</v>
      </c>
      <c r="G16" s="6"/>
      <c r="H16" s="7">
        <f>IF(G16=0,,($G$9-G16)*$G$7*100/$G$9)</f>
        <v>0</v>
      </c>
      <c r="I16" s="6"/>
      <c r="J16" s="7">
        <f t="shared" si="2"/>
        <v>0</v>
      </c>
      <c r="K16" s="6">
        <v>3</v>
      </c>
      <c r="L16" s="7">
        <f>67/2</f>
        <v>33.5</v>
      </c>
      <c r="M16" s="6"/>
      <c r="N16" s="7">
        <f t="shared" si="3"/>
        <v>0</v>
      </c>
      <c r="O16" s="8">
        <f t="shared" si="7"/>
        <v>33.5</v>
      </c>
      <c r="P16" s="6">
        <f t="shared" si="4"/>
        <v>1</v>
      </c>
      <c r="Q16" s="6">
        <f t="shared" si="5"/>
        <v>6</v>
      </c>
      <c r="R16" s="13">
        <f t="shared" si="6"/>
        <v>0.2</v>
      </c>
    </row>
    <row r="17" spans="1:18" x14ac:dyDescent="0.3">
      <c r="A17" s="5">
        <f t="shared" ref="A17:A52" si="8">Q17</f>
        <v>7</v>
      </c>
      <c r="B17" s="6" t="s">
        <v>577</v>
      </c>
      <c r="C17" s="6" t="s">
        <v>578</v>
      </c>
      <c r="D17" s="6" t="s">
        <v>58</v>
      </c>
      <c r="E17" s="6"/>
      <c r="F17" s="7">
        <f t="shared" ref="F17:F33" si="9">IF(E17=0,,($E$9-E17)*$E$7*100/$E$9)</f>
        <v>0</v>
      </c>
      <c r="G17" s="6"/>
      <c r="H17" s="7">
        <f t="shared" ref="H17:H52" si="10">IF(G17=0,,($G$9-G17)*$G$7*100/$G$9)</f>
        <v>0</v>
      </c>
      <c r="I17" s="6"/>
      <c r="J17" s="7">
        <f t="shared" ref="J17:J52" si="11">IF(I17=0,,($I$9-I17)*$I$7*100/$I$9)</f>
        <v>0</v>
      </c>
      <c r="K17" s="6"/>
      <c r="L17" s="7">
        <f t="shared" ref="L17:L35" si="12">IF(K17=0,,($K$9-K17)*$K$7*100/$K$9)</f>
        <v>0</v>
      </c>
      <c r="M17" s="6">
        <v>3</v>
      </c>
      <c r="N17" s="7">
        <f t="shared" ref="N17:N48" si="13">IF(M17=0,,($M$9-M17)*$M$7*100/$M$9)</f>
        <v>50</v>
      </c>
      <c r="O17" s="8">
        <f t="shared" ref="O17:O19" si="14">F17+H17+J17+L17+N17</f>
        <v>50</v>
      </c>
      <c r="P17" s="6">
        <f t="shared" ref="P17:P52" si="15">COUNTA(E17,G17,I17,K17,M17)</f>
        <v>1</v>
      </c>
      <c r="Q17" s="6">
        <f t="shared" ref="Q17:Q52" si="16">ROW(B17)-10</f>
        <v>7</v>
      </c>
      <c r="R17" s="13">
        <f t="shared" ref="R17:R52" si="17">P17/$G$3</f>
        <v>0.2</v>
      </c>
    </row>
    <row r="18" spans="1:18" x14ac:dyDescent="0.3">
      <c r="A18" s="5">
        <f t="shared" si="8"/>
        <v>8</v>
      </c>
      <c r="B18" s="6"/>
      <c r="C18" s="6"/>
      <c r="D18" s="6"/>
      <c r="E18" s="6"/>
      <c r="F18" s="7">
        <f t="shared" si="9"/>
        <v>0</v>
      </c>
      <c r="G18" s="6"/>
      <c r="H18" s="7">
        <f t="shared" si="10"/>
        <v>0</v>
      </c>
      <c r="I18" s="6"/>
      <c r="J18" s="7">
        <f t="shared" si="11"/>
        <v>0</v>
      </c>
      <c r="K18" s="6"/>
      <c r="L18" s="7">
        <f t="shared" si="12"/>
        <v>0</v>
      </c>
      <c r="M18" s="6"/>
      <c r="N18" s="7">
        <f t="shared" si="13"/>
        <v>0</v>
      </c>
      <c r="O18" s="8">
        <f t="shared" si="14"/>
        <v>0</v>
      </c>
      <c r="P18" s="6">
        <f t="shared" si="15"/>
        <v>0</v>
      </c>
      <c r="Q18" s="6">
        <f t="shared" si="16"/>
        <v>8</v>
      </c>
      <c r="R18" s="13">
        <f t="shared" si="17"/>
        <v>0</v>
      </c>
    </row>
    <row r="19" spans="1:18" x14ac:dyDescent="0.3">
      <c r="A19" s="5">
        <f t="shared" si="8"/>
        <v>9</v>
      </c>
      <c r="B19" s="6"/>
      <c r="C19" s="6"/>
      <c r="D19" s="6"/>
      <c r="E19" s="6"/>
      <c r="F19" s="7">
        <f t="shared" si="9"/>
        <v>0</v>
      </c>
      <c r="G19" s="6"/>
      <c r="H19" s="7">
        <f t="shared" si="10"/>
        <v>0</v>
      </c>
      <c r="I19" s="6"/>
      <c r="J19" s="7">
        <f t="shared" si="11"/>
        <v>0</v>
      </c>
      <c r="K19" s="6"/>
      <c r="L19" s="7">
        <f t="shared" si="12"/>
        <v>0</v>
      </c>
      <c r="M19" s="6"/>
      <c r="N19" s="7">
        <f t="shared" si="13"/>
        <v>0</v>
      </c>
      <c r="O19" s="8">
        <f t="shared" si="14"/>
        <v>0</v>
      </c>
      <c r="P19" s="6">
        <f t="shared" si="15"/>
        <v>0</v>
      </c>
      <c r="Q19" s="6">
        <f t="shared" si="16"/>
        <v>9</v>
      </c>
      <c r="R19" s="13">
        <f t="shared" si="17"/>
        <v>0</v>
      </c>
    </row>
    <row r="20" spans="1:18" x14ac:dyDescent="0.3">
      <c r="A20" s="5">
        <f t="shared" si="8"/>
        <v>10</v>
      </c>
      <c r="B20" s="6"/>
      <c r="C20" s="6"/>
      <c r="D20" s="6"/>
      <c r="E20" s="6"/>
      <c r="F20" s="7">
        <f t="shared" si="9"/>
        <v>0</v>
      </c>
      <c r="G20" s="6"/>
      <c r="H20" s="7">
        <f t="shared" si="10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13"/>
        <v>0</v>
      </c>
      <c r="O20" s="8">
        <f>F20+H20+J20+L20+N20</f>
        <v>0</v>
      </c>
      <c r="P20" s="6">
        <f t="shared" si="15"/>
        <v>0</v>
      </c>
      <c r="Q20" s="6">
        <f t="shared" si="16"/>
        <v>10</v>
      </c>
      <c r="R20" s="13">
        <f t="shared" si="17"/>
        <v>0</v>
      </c>
    </row>
    <row r="21" spans="1:18" x14ac:dyDescent="0.3">
      <c r="A21" s="5">
        <f t="shared" si="8"/>
        <v>11</v>
      </c>
      <c r="B21" s="6"/>
      <c r="C21" s="6"/>
      <c r="D21" s="6"/>
      <c r="E21" s="6"/>
      <c r="F21" s="7">
        <f t="shared" si="9"/>
        <v>0</v>
      </c>
      <c r="G21" s="6"/>
      <c r="H21" s="7">
        <f t="shared" si="10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13"/>
        <v>0</v>
      </c>
      <c r="O21" s="8">
        <f t="shared" ref="O21:O52" si="18">F21+H21+J21+L21+N21</f>
        <v>0</v>
      </c>
      <c r="P21" s="6">
        <f t="shared" si="15"/>
        <v>0</v>
      </c>
      <c r="Q21" s="6">
        <f t="shared" si="16"/>
        <v>11</v>
      </c>
      <c r="R21" s="13">
        <f t="shared" si="17"/>
        <v>0</v>
      </c>
    </row>
    <row r="22" spans="1:18" x14ac:dyDescent="0.3">
      <c r="A22" s="5">
        <f t="shared" si="8"/>
        <v>12</v>
      </c>
      <c r="B22" s="6"/>
      <c r="C22" s="6"/>
      <c r="D22" s="6"/>
      <c r="E22" s="6"/>
      <c r="F22" s="7">
        <f t="shared" si="9"/>
        <v>0</v>
      </c>
      <c r="G22" s="6"/>
      <c r="H22" s="7">
        <f t="shared" si="10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13"/>
        <v>0</v>
      </c>
      <c r="O22" s="8">
        <f t="shared" si="18"/>
        <v>0</v>
      </c>
      <c r="P22" s="6">
        <f t="shared" si="15"/>
        <v>0</v>
      </c>
      <c r="Q22" s="6">
        <f t="shared" si="16"/>
        <v>12</v>
      </c>
      <c r="R22" s="13">
        <f t="shared" si="17"/>
        <v>0</v>
      </c>
    </row>
    <row r="23" spans="1:18" x14ac:dyDescent="0.3">
      <c r="A23" s="5">
        <f t="shared" si="8"/>
        <v>13</v>
      </c>
      <c r="B23" s="6"/>
      <c r="C23" s="6"/>
      <c r="D23" s="6"/>
      <c r="E23" s="6"/>
      <c r="F23" s="7">
        <f t="shared" si="9"/>
        <v>0</v>
      </c>
      <c r="G23" s="6"/>
      <c r="H23" s="7">
        <f t="shared" si="10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13"/>
        <v>0</v>
      </c>
      <c r="O23" s="8">
        <f t="shared" si="18"/>
        <v>0</v>
      </c>
      <c r="P23" s="6">
        <f t="shared" si="15"/>
        <v>0</v>
      </c>
      <c r="Q23" s="6">
        <f t="shared" si="16"/>
        <v>13</v>
      </c>
      <c r="R23" s="13">
        <f t="shared" si="17"/>
        <v>0</v>
      </c>
    </row>
    <row r="24" spans="1:18" x14ac:dyDescent="0.3">
      <c r="A24" s="5">
        <f t="shared" si="8"/>
        <v>14</v>
      </c>
      <c r="B24" s="6"/>
      <c r="C24" s="6"/>
      <c r="D24" s="6"/>
      <c r="E24" s="6"/>
      <c r="F24" s="7">
        <f t="shared" si="9"/>
        <v>0</v>
      </c>
      <c r="G24" s="6"/>
      <c r="H24" s="7">
        <f t="shared" si="10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13"/>
        <v>0</v>
      </c>
      <c r="O24" s="8">
        <f t="shared" si="18"/>
        <v>0</v>
      </c>
      <c r="P24" s="6">
        <f t="shared" si="15"/>
        <v>0</v>
      </c>
      <c r="Q24" s="6">
        <f t="shared" si="16"/>
        <v>14</v>
      </c>
      <c r="R24" s="13">
        <f t="shared" si="17"/>
        <v>0</v>
      </c>
    </row>
    <row r="25" spans="1:18" x14ac:dyDescent="0.3">
      <c r="A25" s="5">
        <f t="shared" si="8"/>
        <v>15</v>
      </c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8">
        <f t="shared" si="18"/>
        <v>0</v>
      </c>
      <c r="P25" s="6">
        <f t="shared" si="15"/>
        <v>0</v>
      </c>
      <c r="Q25" s="6">
        <f t="shared" si="16"/>
        <v>15</v>
      </c>
      <c r="R25" s="13">
        <f t="shared" si="17"/>
        <v>0</v>
      </c>
    </row>
    <row r="26" spans="1:18" x14ac:dyDescent="0.3">
      <c r="A26" s="6">
        <f t="shared" si="8"/>
        <v>16</v>
      </c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8">
        <f t="shared" si="18"/>
        <v>0</v>
      </c>
      <c r="P26" s="6">
        <f t="shared" si="15"/>
        <v>0</v>
      </c>
      <c r="Q26" s="6">
        <f t="shared" si="16"/>
        <v>16</v>
      </c>
      <c r="R26" s="13">
        <f t="shared" si="17"/>
        <v>0</v>
      </c>
    </row>
    <row r="27" spans="1:18" x14ac:dyDescent="0.3">
      <c r="A27" s="5">
        <f t="shared" si="8"/>
        <v>17</v>
      </c>
      <c r="B27" s="6"/>
      <c r="C27" s="15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8">
        <f t="shared" si="18"/>
        <v>0</v>
      </c>
      <c r="P27" s="6">
        <f t="shared" si="15"/>
        <v>0</v>
      </c>
      <c r="Q27" s="6">
        <f t="shared" si="16"/>
        <v>17</v>
      </c>
      <c r="R27" s="13">
        <f t="shared" si="17"/>
        <v>0</v>
      </c>
    </row>
    <row r="28" spans="1:18" x14ac:dyDescent="0.3">
      <c r="A28" s="5">
        <f t="shared" si="8"/>
        <v>18</v>
      </c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8">
        <f t="shared" si="18"/>
        <v>0</v>
      </c>
      <c r="P28" s="6">
        <f t="shared" si="15"/>
        <v>0</v>
      </c>
      <c r="Q28" s="6">
        <f t="shared" si="16"/>
        <v>18</v>
      </c>
      <c r="R28" s="13">
        <f t="shared" si="17"/>
        <v>0</v>
      </c>
    </row>
    <row r="29" spans="1:18" x14ac:dyDescent="0.3">
      <c r="A29" s="6">
        <f t="shared" si="8"/>
        <v>19</v>
      </c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8">
        <f t="shared" si="18"/>
        <v>0</v>
      </c>
      <c r="P29" s="6">
        <f t="shared" si="15"/>
        <v>0</v>
      </c>
      <c r="Q29" s="6">
        <f t="shared" si="16"/>
        <v>19</v>
      </c>
      <c r="R29" s="13">
        <f t="shared" si="17"/>
        <v>0</v>
      </c>
    </row>
    <row r="30" spans="1:18" x14ac:dyDescent="0.3">
      <c r="A30" s="5">
        <f t="shared" si="8"/>
        <v>20</v>
      </c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8">
        <f t="shared" si="18"/>
        <v>0</v>
      </c>
      <c r="P30" s="6">
        <f t="shared" si="15"/>
        <v>0</v>
      </c>
      <c r="Q30" s="6">
        <f t="shared" si="16"/>
        <v>20</v>
      </c>
      <c r="R30" s="13">
        <f t="shared" si="17"/>
        <v>0</v>
      </c>
    </row>
    <row r="31" spans="1:18" x14ac:dyDescent="0.3">
      <c r="A31" s="5">
        <f t="shared" si="8"/>
        <v>21</v>
      </c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8">
        <f t="shared" si="18"/>
        <v>0</v>
      </c>
      <c r="P31" s="6">
        <f t="shared" si="15"/>
        <v>0</v>
      </c>
      <c r="Q31" s="6">
        <f t="shared" si="16"/>
        <v>21</v>
      </c>
      <c r="R31" s="13">
        <f t="shared" si="17"/>
        <v>0</v>
      </c>
    </row>
    <row r="32" spans="1:18" x14ac:dyDescent="0.3">
      <c r="A32" s="5">
        <f t="shared" si="8"/>
        <v>22</v>
      </c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8">
        <f t="shared" si="18"/>
        <v>0</v>
      </c>
      <c r="P32" s="6">
        <f t="shared" si="15"/>
        <v>0</v>
      </c>
      <c r="Q32" s="6">
        <f t="shared" si="16"/>
        <v>22</v>
      </c>
      <c r="R32" s="13">
        <f t="shared" si="17"/>
        <v>0</v>
      </c>
    </row>
    <row r="33" spans="1:18" x14ac:dyDescent="0.3">
      <c r="A33" s="5">
        <f t="shared" si="8"/>
        <v>23</v>
      </c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8">
        <f t="shared" si="18"/>
        <v>0</v>
      </c>
      <c r="P33" s="6">
        <f t="shared" si="15"/>
        <v>0</v>
      </c>
      <c r="Q33" s="6">
        <f t="shared" si="16"/>
        <v>23</v>
      </c>
      <c r="R33" s="13">
        <f t="shared" si="17"/>
        <v>0</v>
      </c>
    </row>
    <row r="34" spans="1:18" x14ac:dyDescent="0.3">
      <c r="A34" s="5">
        <f t="shared" si="8"/>
        <v>24</v>
      </c>
      <c r="B34" s="6"/>
      <c r="C34" s="6"/>
      <c r="D34" s="6"/>
      <c r="E34" s="6"/>
      <c r="F34" s="7">
        <f>9/2</f>
        <v>4.5</v>
      </c>
      <c r="G34" s="6"/>
      <c r="H34" s="7">
        <f t="shared" si="10"/>
        <v>0</v>
      </c>
      <c r="I34" s="6"/>
      <c r="J34" s="7">
        <f t="shared" si="11"/>
        <v>0</v>
      </c>
      <c r="K34" s="6"/>
      <c r="L34" s="7">
        <f t="shared" si="12"/>
        <v>0</v>
      </c>
      <c r="M34" s="6"/>
      <c r="N34" s="7">
        <f t="shared" si="13"/>
        <v>0</v>
      </c>
      <c r="O34" s="8">
        <f t="shared" si="18"/>
        <v>4.5</v>
      </c>
      <c r="P34" s="6">
        <f t="shared" si="15"/>
        <v>0</v>
      </c>
      <c r="Q34" s="6">
        <f t="shared" si="16"/>
        <v>24</v>
      </c>
      <c r="R34" s="13">
        <f t="shared" si="17"/>
        <v>0</v>
      </c>
    </row>
    <row r="35" spans="1:18" x14ac:dyDescent="0.3">
      <c r="A35" s="5">
        <f t="shared" si="8"/>
        <v>25</v>
      </c>
      <c r="B35" s="6"/>
      <c r="C35" s="6"/>
      <c r="D35" s="6"/>
      <c r="E35" s="6"/>
      <c r="F35" s="7">
        <f t="shared" ref="F35:F52" si="19">IF(E35=0,,($E$9-E35)*$E$7*100/$E$9)</f>
        <v>0</v>
      </c>
      <c r="G35" s="6"/>
      <c r="H35" s="7">
        <f t="shared" si="10"/>
        <v>0</v>
      </c>
      <c r="I35" s="6"/>
      <c r="J35" s="7">
        <f t="shared" si="11"/>
        <v>0</v>
      </c>
      <c r="K35" s="6"/>
      <c r="L35" s="7">
        <f t="shared" si="12"/>
        <v>0</v>
      </c>
      <c r="M35" s="6"/>
      <c r="N35" s="7">
        <f t="shared" si="13"/>
        <v>0</v>
      </c>
      <c r="O35" s="8">
        <f t="shared" si="18"/>
        <v>0</v>
      </c>
      <c r="P35" s="6">
        <f t="shared" si="15"/>
        <v>0</v>
      </c>
      <c r="Q35" s="6">
        <f t="shared" si="16"/>
        <v>25</v>
      </c>
      <c r="R35" s="13">
        <f t="shared" si="17"/>
        <v>0</v>
      </c>
    </row>
    <row r="36" spans="1:18" x14ac:dyDescent="0.3">
      <c r="A36" s="5">
        <f t="shared" si="8"/>
        <v>26</v>
      </c>
      <c r="B36" s="6"/>
      <c r="C36" s="6"/>
      <c r="D36" s="6"/>
      <c r="E36" s="6"/>
      <c r="F36" s="7">
        <f t="shared" si="19"/>
        <v>0</v>
      </c>
      <c r="G36" s="6"/>
      <c r="H36" s="7">
        <f t="shared" si="10"/>
        <v>0</v>
      </c>
      <c r="I36" s="6"/>
      <c r="J36" s="7">
        <f t="shared" si="11"/>
        <v>0</v>
      </c>
      <c r="K36" s="6"/>
      <c r="L36" s="7">
        <f>7/2</f>
        <v>3.5</v>
      </c>
      <c r="M36" s="6"/>
      <c r="N36" s="7">
        <f t="shared" si="13"/>
        <v>0</v>
      </c>
      <c r="O36" s="8">
        <f t="shared" si="18"/>
        <v>3.5</v>
      </c>
      <c r="P36" s="6">
        <f t="shared" si="15"/>
        <v>0</v>
      </c>
      <c r="Q36" s="6">
        <f t="shared" si="16"/>
        <v>26</v>
      </c>
      <c r="R36" s="13">
        <f t="shared" si="17"/>
        <v>0</v>
      </c>
    </row>
    <row r="37" spans="1:18" x14ac:dyDescent="0.3">
      <c r="A37" s="5">
        <f t="shared" si="8"/>
        <v>27</v>
      </c>
      <c r="B37" s="6"/>
      <c r="C37" s="6"/>
      <c r="D37" s="6"/>
      <c r="E37" s="6"/>
      <c r="F37" s="7">
        <f t="shared" si="19"/>
        <v>0</v>
      </c>
      <c r="G37" s="6"/>
      <c r="H37" s="7">
        <f t="shared" si="10"/>
        <v>0</v>
      </c>
      <c r="I37" s="6"/>
      <c r="J37" s="7">
        <f t="shared" si="11"/>
        <v>0</v>
      </c>
      <c r="K37" s="6"/>
      <c r="L37" s="7">
        <f t="shared" ref="L37:L52" si="20">IF(K37=0,,($K$9-K37)*$K$7*100/$K$9)</f>
        <v>0</v>
      </c>
      <c r="M37" s="6"/>
      <c r="N37" s="7">
        <f t="shared" si="13"/>
        <v>0</v>
      </c>
      <c r="O37" s="8">
        <f t="shared" si="18"/>
        <v>0</v>
      </c>
      <c r="P37" s="6">
        <f t="shared" si="15"/>
        <v>0</v>
      </c>
      <c r="Q37" s="6">
        <f t="shared" si="16"/>
        <v>27</v>
      </c>
      <c r="R37" s="13">
        <f t="shared" si="17"/>
        <v>0</v>
      </c>
    </row>
    <row r="38" spans="1:18" x14ac:dyDescent="0.3">
      <c r="A38" s="5">
        <f t="shared" si="8"/>
        <v>28</v>
      </c>
      <c r="B38" s="6"/>
      <c r="C38" s="6"/>
      <c r="D38" s="6"/>
      <c r="E38" s="6"/>
      <c r="F38" s="7">
        <f>7/2</f>
        <v>3.5</v>
      </c>
      <c r="G38" s="6"/>
      <c r="H38" s="7">
        <f t="shared" si="10"/>
        <v>0</v>
      </c>
      <c r="I38" s="6"/>
      <c r="J38" s="7">
        <f t="shared" si="11"/>
        <v>0</v>
      </c>
      <c r="K38" s="6"/>
      <c r="L38" s="7">
        <f t="shared" si="20"/>
        <v>0</v>
      </c>
      <c r="M38" s="6"/>
      <c r="N38" s="7">
        <f t="shared" si="13"/>
        <v>0</v>
      </c>
      <c r="O38" s="8">
        <f t="shared" si="18"/>
        <v>3.5</v>
      </c>
      <c r="P38" s="6">
        <f t="shared" si="15"/>
        <v>0</v>
      </c>
      <c r="Q38" s="6">
        <f t="shared" si="16"/>
        <v>28</v>
      </c>
      <c r="R38" s="13">
        <f t="shared" si="17"/>
        <v>0</v>
      </c>
    </row>
    <row r="39" spans="1:18" x14ac:dyDescent="0.3">
      <c r="A39" s="5">
        <f t="shared" si="8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10"/>
        <v>0</v>
      </c>
      <c r="I39" s="6"/>
      <c r="J39" s="7">
        <f t="shared" si="11"/>
        <v>0</v>
      </c>
      <c r="K39" s="6"/>
      <c r="L39" s="7">
        <f t="shared" si="20"/>
        <v>0</v>
      </c>
      <c r="M39" s="6"/>
      <c r="N39" s="7">
        <f t="shared" si="13"/>
        <v>0</v>
      </c>
      <c r="O39" s="8">
        <f t="shared" si="18"/>
        <v>0</v>
      </c>
      <c r="P39" s="6">
        <f t="shared" si="15"/>
        <v>0</v>
      </c>
      <c r="Q39" s="6">
        <f t="shared" si="16"/>
        <v>29</v>
      </c>
      <c r="R39" s="13">
        <f t="shared" si="17"/>
        <v>0</v>
      </c>
    </row>
    <row r="40" spans="1:18" x14ac:dyDescent="0.3">
      <c r="A40" s="5">
        <f t="shared" si="8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10"/>
        <v>0</v>
      </c>
      <c r="I40" s="6"/>
      <c r="J40" s="7">
        <f t="shared" si="11"/>
        <v>0</v>
      </c>
      <c r="K40" s="6"/>
      <c r="L40" s="7">
        <f t="shared" si="20"/>
        <v>0</v>
      </c>
      <c r="M40" s="6"/>
      <c r="N40" s="7">
        <f t="shared" si="13"/>
        <v>0</v>
      </c>
      <c r="O40" s="8">
        <f t="shared" si="18"/>
        <v>0</v>
      </c>
      <c r="P40" s="6">
        <f t="shared" si="15"/>
        <v>0</v>
      </c>
      <c r="Q40" s="6">
        <f t="shared" si="16"/>
        <v>30</v>
      </c>
      <c r="R40" s="13">
        <f t="shared" si="17"/>
        <v>0</v>
      </c>
    </row>
    <row r="41" spans="1:18" x14ac:dyDescent="0.3">
      <c r="A41" s="5">
        <f t="shared" si="8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10"/>
        <v>0</v>
      </c>
      <c r="I41" s="6"/>
      <c r="J41" s="7">
        <f t="shared" si="11"/>
        <v>0</v>
      </c>
      <c r="K41" s="6"/>
      <c r="L41" s="7">
        <f t="shared" si="20"/>
        <v>0</v>
      </c>
      <c r="M41" s="6"/>
      <c r="N41" s="7">
        <f t="shared" si="13"/>
        <v>0</v>
      </c>
      <c r="O41" s="8">
        <f t="shared" si="18"/>
        <v>0</v>
      </c>
      <c r="P41" s="6">
        <f t="shared" si="15"/>
        <v>0</v>
      </c>
      <c r="Q41" s="6">
        <f t="shared" si="16"/>
        <v>31</v>
      </c>
      <c r="R41" s="13">
        <f t="shared" si="17"/>
        <v>0</v>
      </c>
    </row>
    <row r="42" spans="1:18" x14ac:dyDescent="0.3">
      <c r="A42" s="5">
        <f t="shared" si="8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10"/>
        <v>0</v>
      </c>
      <c r="I42" s="6"/>
      <c r="J42" s="7">
        <f t="shared" si="11"/>
        <v>0</v>
      </c>
      <c r="K42" s="6"/>
      <c r="L42" s="7">
        <f t="shared" si="20"/>
        <v>0</v>
      </c>
      <c r="M42" s="6"/>
      <c r="N42" s="7">
        <f t="shared" si="13"/>
        <v>0</v>
      </c>
      <c r="O42" s="8">
        <f t="shared" si="18"/>
        <v>0</v>
      </c>
      <c r="P42" s="6">
        <f t="shared" si="15"/>
        <v>0</v>
      </c>
      <c r="Q42" s="6">
        <f t="shared" si="16"/>
        <v>32</v>
      </c>
      <c r="R42" s="13">
        <f t="shared" si="17"/>
        <v>0</v>
      </c>
    </row>
    <row r="43" spans="1:18" x14ac:dyDescent="0.3">
      <c r="A43" s="5">
        <f t="shared" si="8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10"/>
        <v>0</v>
      </c>
      <c r="I43" s="6"/>
      <c r="J43" s="7">
        <f t="shared" si="11"/>
        <v>0</v>
      </c>
      <c r="K43" s="6"/>
      <c r="L43" s="7">
        <f t="shared" si="20"/>
        <v>0</v>
      </c>
      <c r="M43" s="6"/>
      <c r="N43" s="7">
        <f t="shared" si="13"/>
        <v>0</v>
      </c>
      <c r="O43" s="8">
        <f t="shared" si="18"/>
        <v>0</v>
      </c>
      <c r="P43" s="6">
        <f t="shared" si="15"/>
        <v>0</v>
      </c>
      <c r="Q43" s="6">
        <f t="shared" si="16"/>
        <v>33</v>
      </c>
      <c r="R43" s="13">
        <f t="shared" si="17"/>
        <v>0</v>
      </c>
    </row>
    <row r="44" spans="1:18" x14ac:dyDescent="0.3">
      <c r="A44" s="5">
        <f t="shared" si="8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10"/>
        <v>0</v>
      </c>
      <c r="I44" s="6"/>
      <c r="J44" s="7">
        <f t="shared" si="11"/>
        <v>0</v>
      </c>
      <c r="K44" s="6"/>
      <c r="L44" s="7">
        <f t="shared" si="20"/>
        <v>0</v>
      </c>
      <c r="M44" s="6"/>
      <c r="N44" s="7">
        <f t="shared" si="13"/>
        <v>0</v>
      </c>
      <c r="O44" s="8">
        <f t="shared" si="18"/>
        <v>0</v>
      </c>
      <c r="P44" s="6">
        <f t="shared" si="15"/>
        <v>0</v>
      </c>
      <c r="Q44" s="6">
        <f t="shared" si="16"/>
        <v>34</v>
      </c>
      <c r="R44" s="13">
        <f t="shared" si="17"/>
        <v>0</v>
      </c>
    </row>
    <row r="45" spans="1:18" x14ac:dyDescent="0.3">
      <c r="A45" s="5">
        <f t="shared" si="8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10"/>
        <v>0</v>
      </c>
      <c r="I45" s="6"/>
      <c r="J45" s="7">
        <f t="shared" si="11"/>
        <v>0</v>
      </c>
      <c r="K45" s="6"/>
      <c r="L45" s="7">
        <f t="shared" si="20"/>
        <v>0</v>
      </c>
      <c r="M45" s="6"/>
      <c r="N45" s="7">
        <f t="shared" si="13"/>
        <v>0</v>
      </c>
      <c r="O45" s="8">
        <f t="shared" si="18"/>
        <v>0</v>
      </c>
      <c r="P45" s="6">
        <f t="shared" si="15"/>
        <v>0</v>
      </c>
      <c r="Q45" s="6">
        <f t="shared" si="16"/>
        <v>35</v>
      </c>
      <c r="R45" s="13">
        <f t="shared" si="17"/>
        <v>0</v>
      </c>
    </row>
    <row r="46" spans="1:18" x14ac:dyDescent="0.3">
      <c r="A46" s="5">
        <f t="shared" si="8"/>
        <v>36</v>
      </c>
      <c r="B46" s="6"/>
      <c r="C46" s="6"/>
      <c r="D46" s="6"/>
      <c r="E46" s="6"/>
      <c r="F46" s="7">
        <f t="shared" si="19"/>
        <v>0</v>
      </c>
      <c r="G46" s="6"/>
      <c r="H46" s="7">
        <f t="shared" si="10"/>
        <v>0</v>
      </c>
      <c r="I46" s="6"/>
      <c r="J46" s="7">
        <f t="shared" si="11"/>
        <v>0</v>
      </c>
      <c r="K46" s="6"/>
      <c r="L46" s="7">
        <f t="shared" si="20"/>
        <v>0</v>
      </c>
      <c r="M46" s="6"/>
      <c r="N46" s="7">
        <f t="shared" si="13"/>
        <v>0</v>
      </c>
      <c r="O46" s="8">
        <f t="shared" si="18"/>
        <v>0</v>
      </c>
      <c r="P46" s="6">
        <f t="shared" si="15"/>
        <v>0</v>
      </c>
      <c r="Q46" s="6">
        <f t="shared" si="16"/>
        <v>36</v>
      </c>
      <c r="R46" s="13">
        <f t="shared" si="17"/>
        <v>0</v>
      </c>
    </row>
    <row r="47" spans="1:18" x14ac:dyDescent="0.3">
      <c r="A47" s="5">
        <f t="shared" si="8"/>
        <v>37</v>
      </c>
      <c r="B47" s="6"/>
      <c r="C47" s="6"/>
      <c r="D47" s="6"/>
      <c r="E47" s="6"/>
      <c r="F47" s="7">
        <f t="shared" si="19"/>
        <v>0</v>
      </c>
      <c r="G47" s="6"/>
      <c r="H47" s="7">
        <f t="shared" si="10"/>
        <v>0</v>
      </c>
      <c r="I47" s="6"/>
      <c r="J47" s="7">
        <f t="shared" si="11"/>
        <v>0</v>
      </c>
      <c r="K47" s="6"/>
      <c r="L47" s="7">
        <f t="shared" si="20"/>
        <v>0</v>
      </c>
      <c r="M47" s="6"/>
      <c r="N47" s="7">
        <f t="shared" si="13"/>
        <v>0</v>
      </c>
      <c r="O47" s="8">
        <f t="shared" si="18"/>
        <v>0</v>
      </c>
      <c r="P47" s="6">
        <f t="shared" si="15"/>
        <v>0</v>
      </c>
      <c r="Q47" s="6">
        <f t="shared" si="16"/>
        <v>37</v>
      </c>
      <c r="R47" s="13">
        <f t="shared" si="17"/>
        <v>0</v>
      </c>
    </row>
    <row r="48" spans="1:18" x14ac:dyDescent="0.3">
      <c r="A48" s="5">
        <f t="shared" si="8"/>
        <v>38</v>
      </c>
      <c r="B48" s="6"/>
      <c r="C48" s="6"/>
      <c r="D48" s="6"/>
      <c r="E48" s="6"/>
      <c r="F48" s="7">
        <f t="shared" si="19"/>
        <v>0</v>
      </c>
      <c r="G48" s="6"/>
      <c r="H48" s="7">
        <f t="shared" si="10"/>
        <v>0</v>
      </c>
      <c r="I48" s="6"/>
      <c r="J48" s="7">
        <f t="shared" si="11"/>
        <v>0</v>
      </c>
      <c r="K48" s="6"/>
      <c r="L48" s="7">
        <f t="shared" si="20"/>
        <v>0</v>
      </c>
      <c r="M48" s="6"/>
      <c r="N48" s="7">
        <f t="shared" si="13"/>
        <v>0</v>
      </c>
      <c r="O48" s="8">
        <f t="shared" si="18"/>
        <v>0</v>
      </c>
      <c r="P48" s="6">
        <f t="shared" si="15"/>
        <v>0</v>
      </c>
      <c r="Q48" s="6">
        <f t="shared" si="16"/>
        <v>38</v>
      </c>
      <c r="R48" s="13">
        <f t="shared" si="17"/>
        <v>0</v>
      </c>
    </row>
    <row r="49" spans="1:18" x14ac:dyDescent="0.3">
      <c r="A49" s="5">
        <f t="shared" si="8"/>
        <v>39</v>
      </c>
      <c r="B49" s="6"/>
      <c r="C49" s="6"/>
      <c r="D49" s="6"/>
      <c r="E49" s="6"/>
      <c r="F49" s="7">
        <f t="shared" si="19"/>
        <v>0</v>
      </c>
      <c r="G49" s="6"/>
      <c r="H49" s="7">
        <f t="shared" si="10"/>
        <v>0</v>
      </c>
      <c r="I49" s="6"/>
      <c r="J49" s="7">
        <f t="shared" si="11"/>
        <v>0</v>
      </c>
      <c r="K49" s="6"/>
      <c r="L49" s="7">
        <f t="shared" si="20"/>
        <v>0</v>
      </c>
      <c r="M49" s="6"/>
      <c r="N49" s="7">
        <f>7/2</f>
        <v>3.5</v>
      </c>
      <c r="O49" s="8">
        <f t="shared" si="18"/>
        <v>3.5</v>
      </c>
      <c r="P49" s="6">
        <f t="shared" si="15"/>
        <v>0</v>
      </c>
      <c r="Q49" s="6">
        <f t="shared" si="16"/>
        <v>39</v>
      </c>
      <c r="R49" s="13">
        <f t="shared" si="17"/>
        <v>0</v>
      </c>
    </row>
    <row r="50" spans="1:18" x14ac:dyDescent="0.3">
      <c r="A50" s="5">
        <f t="shared" si="8"/>
        <v>40</v>
      </c>
      <c r="B50" s="6"/>
      <c r="C50" s="6"/>
      <c r="D50" s="6"/>
      <c r="E50" s="6"/>
      <c r="F50" s="7">
        <f t="shared" si="19"/>
        <v>0</v>
      </c>
      <c r="G50" s="6"/>
      <c r="H50" s="7">
        <f t="shared" si="10"/>
        <v>0</v>
      </c>
      <c r="I50" s="6"/>
      <c r="J50" s="7">
        <f t="shared" si="11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3">
      <c r="A51" s="5">
        <f t="shared" si="8"/>
        <v>41</v>
      </c>
      <c r="B51" s="6"/>
      <c r="C51" s="6"/>
      <c r="D51" s="6"/>
      <c r="E51" s="6"/>
      <c r="F51" s="7">
        <f t="shared" si="19"/>
        <v>0</v>
      </c>
      <c r="G51" s="6"/>
      <c r="H51" s="7">
        <f t="shared" si="10"/>
        <v>0</v>
      </c>
      <c r="I51" s="6"/>
      <c r="J51" s="7">
        <f t="shared" si="11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5"/>
        <v>0</v>
      </c>
      <c r="Q51" s="6">
        <f t="shared" si="16"/>
        <v>41</v>
      </c>
      <c r="R51" s="13">
        <f t="shared" si="17"/>
        <v>0</v>
      </c>
    </row>
    <row r="52" spans="1:18" x14ac:dyDescent="0.3">
      <c r="A52" s="5">
        <f t="shared" si="8"/>
        <v>42</v>
      </c>
      <c r="B52" s="6"/>
      <c r="C52" s="6"/>
      <c r="D52" s="6"/>
      <c r="E52" s="6"/>
      <c r="F52" s="7">
        <f t="shared" si="19"/>
        <v>0</v>
      </c>
      <c r="G52" s="6"/>
      <c r="H52" s="7">
        <f t="shared" si="10"/>
        <v>0</v>
      </c>
      <c r="I52" s="6"/>
      <c r="J52" s="7">
        <f t="shared" si="11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5"/>
        <v>0</v>
      </c>
      <c r="Q52" s="6">
        <f t="shared" si="16"/>
        <v>42</v>
      </c>
      <c r="R52" s="13">
        <f t="shared" si="17"/>
        <v>0</v>
      </c>
    </row>
    <row r="53" spans="1:18" x14ac:dyDescent="0.3">
      <c r="A53" s="27" t="s">
        <v>237</v>
      </c>
      <c r="B53" s="27"/>
      <c r="C53" s="28"/>
      <c r="E53">
        <f>COUNTA(E11:E52)</f>
        <v>4</v>
      </c>
      <c r="G53">
        <f>COUNTA(G11:G52)</f>
        <v>3</v>
      </c>
      <c r="I53">
        <f>COUNTA(I11:I52)</f>
        <v>0</v>
      </c>
      <c r="K53">
        <f>COUNTA(K11:K52)</f>
        <v>3</v>
      </c>
      <c r="M53">
        <f>COUNTA(M11:M52)</f>
        <v>4</v>
      </c>
    </row>
    <row r="54" spans="1:18" x14ac:dyDescent="0.3">
      <c r="A54" s="30" t="s">
        <v>35</v>
      </c>
      <c r="B54" s="30"/>
      <c r="C54" s="30"/>
      <c r="E54" s="12">
        <f>E53/$G$2</f>
        <v>0.5714285714285714</v>
      </c>
      <c r="G54" s="12">
        <f>G53/$G$2</f>
        <v>0.42857142857142855</v>
      </c>
      <c r="I54" s="12">
        <f>I53/$G$2</f>
        <v>0</v>
      </c>
      <c r="K54" s="12">
        <f>K53/$G$2</f>
        <v>0.42857142857142855</v>
      </c>
      <c r="M54" s="12">
        <f>M53/$G$2</f>
        <v>0.5714285714285714</v>
      </c>
    </row>
  </sheetData>
  <sortState xmlns:xlrd2="http://schemas.microsoft.com/office/spreadsheetml/2017/richdata2" ref="A10:R16">
    <sortCondition descending="1" ref="O10:O16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14" sqref="K1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3">
      <c r="E2" s="31" t="s">
        <v>31</v>
      </c>
      <c r="F2" s="31"/>
      <c r="G2" s="11">
        <f>COUNTA(B11:B52)</f>
        <v>7</v>
      </c>
    </row>
    <row r="3" spans="1:15" x14ac:dyDescent="0.3">
      <c r="B3" s="2"/>
      <c r="E3" s="31" t="s">
        <v>33</v>
      </c>
      <c r="F3" s="31"/>
      <c r="G3" s="11">
        <f>COUNTA(E8:J8)</f>
        <v>3</v>
      </c>
    </row>
    <row r="4" spans="1:15" x14ac:dyDescent="0.3">
      <c r="B4" s="2"/>
      <c r="C4" s="3"/>
    </row>
    <row r="6" spans="1:15" x14ac:dyDescent="0.3">
      <c r="D6" s="1" t="s">
        <v>0</v>
      </c>
      <c r="E6" s="26" t="s">
        <v>269</v>
      </c>
      <c r="F6" s="26"/>
      <c r="G6" s="26" t="s">
        <v>270</v>
      </c>
      <c r="H6" s="26"/>
      <c r="I6" s="26" t="s">
        <v>271</v>
      </c>
      <c r="J6" s="26"/>
    </row>
    <row r="7" spans="1:15" x14ac:dyDescent="0.3">
      <c r="D7" s="1" t="s">
        <v>10</v>
      </c>
      <c r="E7" s="23">
        <v>2</v>
      </c>
      <c r="F7" s="24"/>
      <c r="G7" s="23">
        <v>2</v>
      </c>
      <c r="H7" s="24"/>
      <c r="I7" s="23">
        <v>2</v>
      </c>
      <c r="J7" s="24"/>
    </row>
    <row r="8" spans="1:15" x14ac:dyDescent="0.3">
      <c r="D8" s="1" t="s">
        <v>1</v>
      </c>
      <c r="E8" s="29">
        <v>45578</v>
      </c>
      <c r="F8" s="29"/>
      <c r="G8" s="29">
        <v>45683</v>
      </c>
      <c r="H8" s="29"/>
      <c r="I8" s="29">
        <v>45774</v>
      </c>
      <c r="J8" s="29"/>
    </row>
    <row r="9" spans="1:15" x14ac:dyDescent="0.3">
      <c r="D9" s="1" t="s">
        <v>2</v>
      </c>
      <c r="E9" s="26">
        <v>4</v>
      </c>
      <c r="F9" s="26"/>
      <c r="G9" s="26">
        <v>3</v>
      </c>
      <c r="H9" s="26"/>
      <c r="I9" s="26">
        <v>4</v>
      </c>
      <c r="J9" s="26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34</v>
      </c>
      <c r="M10" s="1" t="s">
        <v>9</v>
      </c>
      <c r="N10" s="1" t="s">
        <v>36</v>
      </c>
    </row>
    <row r="11" spans="1:15" x14ac:dyDescent="0.3">
      <c r="A11" s="5">
        <f t="shared" ref="A11:A17" si="0">M11</f>
        <v>1</v>
      </c>
      <c r="B11" s="6" t="s">
        <v>188</v>
      </c>
      <c r="C11" s="6" t="s">
        <v>200</v>
      </c>
      <c r="D11" s="6" t="s">
        <v>189</v>
      </c>
      <c r="E11" s="6">
        <v>1</v>
      </c>
      <c r="F11" s="7">
        <f t="shared" ref="F11:F17" si="1">IF(E11=0,,($E$9-E11)*$E$7*100/$E$9)</f>
        <v>150</v>
      </c>
      <c r="G11" s="6">
        <v>1</v>
      </c>
      <c r="H11" s="7">
        <f t="shared" ref="H11:H16" si="2">IF(G11=0,,($G$9-G11)*$G$7*100/$G$9)</f>
        <v>133.33333333333334</v>
      </c>
      <c r="I11" s="6">
        <v>1</v>
      </c>
      <c r="J11" s="7">
        <f t="shared" ref="J11:J17" si="3">IF(I11=0,,($I$9-I11)*$I$7*100/$I$9)</f>
        <v>150</v>
      </c>
      <c r="K11" s="8">
        <f t="shared" ref="K11:K17" si="4">F11+H11+J11</f>
        <v>433.33333333333337</v>
      </c>
      <c r="L11" s="6">
        <f>COUNTA(E11,#REF!,#REF!,G11,I11)</f>
        <v>5</v>
      </c>
      <c r="M11" s="6">
        <f t="shared" ref="M11:M52" si="5">ROW(B11)-10</f>
        <v>1</v>
      </c>
      <c r="N11" s="13">
        <f t="shared" ref="N11:N17" si="6">L11/$G$3</f>
        <v>1.6666666666666667</v>
      </c>
    </row>
    <row r="12" spans="1:15" x14ac:dyDescent="0.3">
      <c r="A12" s="5">
        <f t="shared" si="0"/>
        <v>2</v>
      </c>
      <c r="B12" s="6" t="s">
        <v>125</v>
      </c>
      <c r="C12" s="6" t="s">
        <v>272</v>
      </c>
      <c r="D12" s="6" t="s">
        <v>72</v>
      </c>
      <c r="E12" s="6">
        <v>2</v>
      </c>
      <c r="F12" s="7">
        <f t="shared" si="1"/>
        <v>100</v>
      </c>
      <c r="G12" s="6"/>
      <c r="H12" s="7">
        <f t="shared" si="2"/>
        <v>0</v>
      </c>
      <c r="I12" s="6">
        <v>2</v>
      </c>
      <c r="J12" s="7">
        <f t="shared" si="3"/>
        <v>100</v>
      </c>
      <c r="K12" s="8">
        <f t="shared" si="4"/>
        <v>200</v>
      </c>
      <c r="L12" s="6">
        <f>COUNTA(E12,#REF!,#REF!,G12,I12)</f>
        <v>4</v>
      </c>
      <c r="M12" s="6">
        <f t="shared" si="5"/>
        <v>2</v>
      </c>
      <c r="N12" s="13">
        <f t="shared" si="6"/>
        <v>1.3333333333333333</v>
      </c>
    </row>
    <row r="13" spans="1:15" x14ac:dyDescent="0.3">
      <c r="A13" s="5">
        <f t="shared" si="0"/>
        <v>3</v>
      </c>
      <c r="B13" s="6" t="s">
        <v>275</v>
      </c>
      <c r="C13" s="6" t="s">
        <v>276</v>
      </c>
      <c r="D13" s="6" t="s">
        <v>48</v>
      </c>
      <c r="E13" s="6">
        <v>3</v>
      </c>
      <c r="F13" s="7">
        <f t="shared" si="1"/>
        <v>50</v>
      </c>
      <c r="G13" s="6"/>
      <c r="H13" s="7">
        <f t="shared" si="2"/>
        <v>0</v>
      </c>
      <c r="I13" s="6">
        <v>3</v>
      </c>
      <c r="J13" s="7">
        <f t="shared" si="3"/>
        <v>50</v>
      </c>
      <c r="K13" s="8">
        <f t="shared" si="4"/>
        <v>100</v>
      </c>
      <c r="L13" s="6">
        <f>COUNTA(E13,#REF!,#REF!,G13,I13)</f>
        <v>4</v>
      </c>
      <c r="M13" s="6">
        <f t="shared" si="5"/>
        <v>3</v>
      </c>
      <c r="N13" s="13">
        <f t="shared" si="6"/>
        <v>1.3333333333333333</v>
      </c>
    </row>
    <row r="14" spans="1:15" x14ac:dyDescent="0.3">
      <c r="A14" s="5">
        <f t="shared" si="0"/>
        <v>4</v>
      </c>
      <c r="B14" s="6" t="s">
        <v>477</v>
      </c>
      <c r="C14" s="6" t="s">
        <v>478</v>
      </c>
      <c r="D14" s="6" t="s">
        <v>72</v>
      </c>
      <c r="E14" s="6"/>
      <c r="F14" s="7">
        <f t="shared" si="1"/>
        <v>0</v>
      </c>
      <c r="G14" s="6">
        <v>2</v>
      </c>
      <c r="H14" s="7">
        <f t="shared" si="2"/>
        <v>66.666666666666671</v>
      </c>
      <c r="I14" s="6"/>
      <c r="J14" s="7">
        <f t="shared" si="3"/>
        <v>0</v>
      </c>
      <c r="K14" s="8">
        <f t="shared" si="4"/>
        <v>66.666666666666671</v>
      </c>
      <c r="L14" s="6">
        <f>COUNTA(E14,#REF!,#REF!,G14,I14)</f>
        <v>3</v>
      </c>
      <c r="M14" s="6">
        <f t="shared" si="5"/>
        <v>4</v>
      </c>
      <c r="N14" s="13">
        <f t="shared" si="6"/>
        <v>1</v>
      </c>
    </row>
    <row r="15" spans="1:15" x14ac:dyDescent="0.3">
      <c r="A15" s="5">
        <f t="shared" si="0"/>
        <v>5</v>
      </c>
      <c r="B15" s="6" t="s">
        <v>273</v>
      </c>
      <c r="C15" s="6" t="s">
        <v>274</v>
      </c>
      <c r="D15" s="6" t="s">
        <v>89</v>
      </c>
      <c r="E15" s="6">
        <v>3</v>
      </c>
      <c r="F15" s="7">
        <f t="shared" si="1"/>
        <v>50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50</v>
      </c>
      <c r="L15" s="6">
        <f>COUNTA(E15,#REF!,#REF!,G15,I15)</f>
        <v>3</v>
      </c>
      <c r="M15" s="6">
        <f t="shared" si="5"/>
        <v>5</v>
      </c>
      <c r="N15" s="13">
        <f t="shared" si="6"/>
        <v>1</v>
      </c>
    </row>
    <row r="16" spans="1:15" x14ac:dyDescent="0.3">
      <c r="A16" s="5">
        <f t="shared" si="0"/>
        <v>6</v>
      </c>
      <c r="B16" s="6" t="s">
        <v>577</v>
      </c>
      <c r="C16" s="6" t="s">
        <v>578</v>
      </c>
      <c r="D16" s="6" t="s">
        <v>58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8">
        <f t="shared" si="4"/>
        <v>50</v>
      </c>
      <c r="L16" s="6">
        <f>COUNTA(E16,#REF!,#REF!,G16,I16)</f>
        <v>3</v>
      </c>
      <c r="M16" s="6">
        <f t="shared" si="5"/>
        <v>6</v>
      </c>
      <c r="N16" s="13">
        <f t="shared" si="6"/>
        <v>1</v>
      </c>
    </row>
    <row r="17" spans="1:14" x14ac:dyDescent="0.3">
      <c r="A17" s="5">
        <f t="shared" si="0"/>
        <v>7</v>
      </c>
      <c r="B17" s="6" t="s">
        <v>479</v>
      </c>
      <c r="C17" s="6" t="s">
        <v>480</v>
      </c>
      <c r="D17" s="6" t="s">
        <v>378</v>
      </c>
      <c r="E17" s="6"/>
      <c r="F17" s="7">
        <f t="shared" si="1"/>
        <v>0</v>
      </c>
      <c r="G17" s="6">
        <v>3</v>
      </c>
      <c r="H17" s="7">
        <f>67/2</f>
        <v>33.5</v>
      </c>
      <c r="I17" s="6"/>
      <c r="J17" s="7">
        <f t="shared" si="3"/>
        <v>0</v>
      </c>
      <c r="K17" s="8">
        <f t="shared" si="4"/>
        <v>33.5</v>
      </c>
      <c r="L17" s="6">
        <f>COUNTA(E17,#REF!,#REF!,G17,I17)</f>
        <v>3</v>
      </c>
      <c r="M17" s="6">
        <f t="shared" si="5"/>
        <v>7</v>
      </c>
      <c r="N17" s="13">
        <f t="shared" si="6"/>
        <v>1</v>
      </c>
    </row>
    <row r="18" spans="1:14" x14ac:dyDescent="0.3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>
        <f t="shared" ref="N18:N52" si="12">L18/$G$3</f>
        <v>0.66666666666666663</v>
      </c>
    </row>
    <row r="19" spans="1:14" x14ac:dyDescent="0.3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>
        <f t="shared" si="12"/>
        <v>0.66666666666666663</v>
      </c>
    </row>
    <row r="20" spans="1:14" x14ac:dyDescent="0.3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>
        <f t="shared" si="12"/>
        <v>0.66666666666666663</v>
      </c>
    </row>
    <row r="21" spans="1:14" x14ac:dyDescent="0.3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>
        <f t="shared" si="12"/>
        <v>0.66666666666666663</v>
      </c>
    </row>
    <row r="22" spans="1:14" x14ac:dyDescent="0.3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>
        <f t="shared" si="12"/>
        <v>0.66666666666666663</v>
      </c>
    </row>
    <row r="23" spans="1:14" x14ac:dyDescent="0.3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>
        <f t="shared" si="12"/>
        <v>0.66666666666666663</v>
      </c>
    </row>
    <row r="24" spans="1:14" x14ac:dyDescent="0.3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>
        <f t="shared" si="12"/>
        <v>0.66666666666666663</v>
      </c>
    </row>
    <row r="25" spans="1:14" x14ac:dyDescent="0.3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>
        <f t="shared" si="12"/>
        <v>0.66666666666666663</v>
      </c>
    </row>
    <row r="26" spans="1:14" x14ac:dyDescent="0.3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>
        <f t="shared" si="12"/>
        <v>0.66666666666666663</v>
      </c>
    </row>
    <row r="27" spans="1:14" x14ac:dyDescent="0.3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>
        <f t="shared" si="12"/>
        <v>0.66666666666666663</v>
      </c>
    </row>
    <row r="28" spans="1:14" x14ac:dyDescent="0.3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>
        <f t="shared" si="12"/>
        <v>0.66666666666666663</v>
      </c>
    </row>
    <row r="29" spans="1:14" x14ac:dyDescent="0.3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>
        <f t="shared" si="12"/>
        <v>0.66666666666666663</v>
      </c>
    </row>
    <row r="30" spans="1:14" x14ac:dyDescent="0.3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>
        <f t="shared" si="12"/>
        <v>0.66666666666666663</v>
      </c>
    </row>
    <row r="31" spans="1:14" x14ac:dyDescent="0.3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>
        <f t="shared" si="12"/>
        <v>0.66666666666666663</v>
      </c>
    </row>
    <row r="32" spans="1:14" x14ac:dyDescent="0.3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>
        <f t="shared" si="12"/>
        <v>0.66666666666666663</v>
      </c>
    </row>
    <row r="33" spans="1:14" x14ac:dyDescent="0.3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>
        <f t="shared" si="12"/>
        <v>0.66666666666666663</v>
      </c>
    </row>
    <row r="34" spans="1:14" x14ac:dyDescent="0.3">
      <c r="A34" s="5">
        <f t="shared" si="7"/>
        <v>24</v>
      </c>
      <c r="B34" s="6"/>
      <c r="C34" s="6"/>
      <c r="D34" s="6"/>
      <c r="E34" s="6"/>
      <c r="F34" s="7">
        <f>9/2</f>
        <v>4.5</v>
      </c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4.5</v>
      </c>
      <c r="L34" s="6">
        <f>COUNTA(E34,#REF!,#REF!,G34,I34)</f>
        <v>2</v>
      </c>
      <c r="M34" s="6">
        <f t="shared" si="5"/>
        <v>24</v>
      </c>
      <c r="N34" s="13">
        <f t="shared" si="12"/>
        <v>0.66666666666666663</v>
      </c>
    </row>
    <row r="35" spans="1:14" x14ac:dyDescent="0.3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>
        <f t="shared" si="12"/>
        <v>0.66666666666666663</v>
      </c>
    </row>
    <row r="36" spans="1:14" x14ac:dyDescent="0.3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>
        <f>7/2</f>
        <v>3.5</v>
      </c>
      <c r="I36" s="6"/>
      <c r="J36" s="7">
        <f t="shared" si="10"/>
        <v>0</v>
      </c>
      <c r="K36" s="8">
        <f t="shared" si="11"/>
        <v>3.5</v>
      </c>
      <c r="L36" s="6">
        <f>COUNTA(E36,#REF!,#REF!,G36,I36)</f>
        <v>2</v>
      </c>
      <c r="M36" s="6">
        <f t="shared" si="5"/>
        <v>26</v>
      </c>
      <c r="N36" s="13">
        <f t="shared" si="12"/>
        <v>0.66666666666666663</v>
      </c>
    </row>
    <row r="37" spans="1:14" x14ac:dyDescent="0.3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>
        <f t="shared" si="12"/>
        <v>0.66666666666666663</v>
      </c>
    </row>
    <row r="38" spans="1:14" x14ac:dyDescent="0.3">
      <c r="A38" s="5">
        <f t="shared" si="7"/>
        <v>28</v>
      </c>
      <c r="B38" s="6"/>
      <c r="C38" s="6"/>
      <c r="D38" s="6"/>
      <c r="E38" s="6"/>
      <c r="F38" s="7">
        <f>7/2</f>
        <v>3.5</v>
      </c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3.5</v>
      </c>
      <c r="L38" s="6">
        <f>COUNTA(E38,#REF!,#REF!,G38,I38)</f>
        <v>2</v>
      </c>
      <c r="M38" s="6">
        <f t="shared" si="5"/>
        <v>28</v>
      </c>
      <c r="N38" s="13">
        <f t="shared" si="12"/>
        <v>0.66666666666666663</v>
      </c>
    </row>
    <row r="39" spans="1:14" x14ac:dyDescent="0.3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>
        <f t="shared" si="12"/>
        <v>0.66666666666666663</v>
      </c>
    </row>
    <row r="40" spans="1:14" x14ac:dyDescent="0.3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>
        <f t="shared" si="12"/>
        <v>0.66666666666666663</v>
      </c>
    </row>
    <row r="41" spans="1:14" x14ac:dyDescent="0.3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>
        <f t="shared" si="12"/>
        <v>0.66666666666666663</v>
      </c>
    </row>
    <row r="42" spans="1:14" x14ac:dyDescent="0.3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>
        <f t="shared" si="12"/>
        <v>0.66666666666666663</v>
      </c>
    </row>
    <row r="43" spans="1:14" x14ac:dyDescent="0.3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>
        <f t="shared" si="12"/>
        <v>0.66666666666666663</v>
      </c>
    </row>
    <row r="44" spans="1:14" x14ac:dyDescent="0.3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>
        <f t="shared" si="12"/>
        <v>0.66666666666666663</v>
      </c>
    </row>
    <row r="45" spans="1:14" x14ac:dyDescent="0.3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>
        <f t="shared" si="12"/>
        <v>0.66666666666666663</v>
      </c>
    </row>
    <row r="46" spans="1:14" x14ac:dyDescent="0.3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>
        <f t="shared" si="12"/>
        <v>0.66666666666666663</v>
      </c>
    </row>
    <row r="47" spans="1:14" x14ac:dyDescent="0.3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>
        <f t="shared" si="12"/>
        <v>0.66666666666666663</v>
      </c>
    </row>
    <row r="48" spans="1:14" x14ac:dyDescent="0.3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>
        <f t="shared" si="12"/>
        <v>0.66666666666666663</v>
      </c>
    </row>
    <row r="49" spans="1:14" x14ac:dyDescent="0.3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>
        <f t="shared" si="12"/>
        <v>0.66666666666666663</v>
      </c>
    </row>
    <row r="50" spans="1:14" x14ac:dyDescent="0.3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>
        <f t="shared" si="12"/>
        <v>0.66666666666666663</v>
      </c>
    </row>
    <row r="51" spans="1:14" x14ac:dyDescent="0.3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>
        <f t="shared" si="12"/>
        <v>0.66666666666666663</v>
      </c>
    </row>
    <row r="52" spans="1:14" x14ac:dyDescent="0.3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>
        <f t="shared" si="12"/>
        <v>0.66666666666666663</v>
      </c>
    </row>
    <row r="53" spans="1:14" x14ac:dyDescent="0.3">
      <c r="A53" s="27" t="s">
        <v>237</v>
      </c>
      <c r="B53" s="27"/>
      <c r="C53" s="28"/>
      <c r="E53">
        <f>COUNTA(E11:E52)</f>
        <v>4</v>
      </c>
      <c r="G53">
        <f>COUNTA(G11:G52)</f>
        <v>3</v>
      </c>
      <c r="I53">
        <f>COUNTA(I11:I52)</f>
        <v>4</v>
      </c>
    </row>
    <row r="54" spans="1:14" x14ac:dyDescent="0.3">
      <c r="A54" s="30" t="s">
        <v>35</v>
      </c>
      <c r="B54" s="30"/>
      <c r="C54" s="30"/>
      <c r="E54" s="12">
        <f>E53/$G$2</f>
        <v>0.5714285714285714</v>
      </c>
      <c r="G54" s="12">
        <f>G53/$G$2</f>
        <v>0.42857142857142855</v>
      </c>
      <c r="I54" s="12">
        <f>I53/$G$2</f>
        <v>0.5714285714285714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C7" sqref="C7"/>
    </sheetView>
  </sheetViews>
  <sheetFormatPr baseColWidth="10" defaultColWidth="11.44140625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10" sqref="A10:T34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88671875" bestFit="1" customWidth="1"/>
    <col min="5" max="5" width="7" customWidth="1"/>
    <col min="6" max="6" width="7.44140625" customWidth="1"/>
    <col min="7" max="7" width="11.44140625" customWidth="1"/>
    <col min="8" max="8" width="7.88671875" customWidth="1"/>
    <col min="9" max="9" width="11.44140625" customWidth="1"/>
    <col min="10" max="10" width="8.44140625" customWidth="1"/>
    <col min="11" max="11" width="9.44140625" customWidth="1"/>
    <col min="12" max="12" width="16.109375" customWidth="1"/>
    <col min="14" max="14" width="18.33203125" bestFit="1" customWidth="1"/>
    <col min="16" max="16" width="18.33203125" bestFit="1" customWidth="1"/>
    <col min="17" max="17" width="11.109375" bestFit="1" customWidth="1"/>
    <col min="18" max="18" width="18.44140625" bestFit="1" customWidth="1"/>
  </cols>
  <sheetData>
    <row r="1" spans="1:20" ht="31.2" x14ac:dyDescent="0.6">
      <c r="A1" s="25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20" x14ac:dyDescent="0.3">
      <c r="B3" s="2"/>
    </row>
    <row r="4" spans="1:20" x14ac:dyDescent="0.3">
      <c r="B4" s="2"/>
      <c r="C4" s="3"/>
    </row>
    <row r="6" spans="1:20" x14ac:dyDescent="0.3">
      <c r="D6" s="1" t="s">
        <v>0</v>
      </c>
      <c r="E6" s="26" t="s">
        <v>233</v>
      </c>
      <c r="F6" s="26"/>
      <c r="G6" s="26" t="s">
        <v>231</v>
      </c>
      <c r="H6" s="26"/>
      <c r="I6" s="26" t="s">
        <v>439</v>
      </c>
      <c r="J6" s="26"/>
      <c r="K6" s="26" t="s">
        <v>41</v>
      </c>
      <c r="L6" s="26"/>
      <c r="M6" s="26" t="s">
        <v>536</v>
      </c>
      <c r="N6" s="26"/>
      <c r="O6" s="26" t="s">
        <v>234</v>
      </c>
      <c r="P6" s="26"/>
      <c r="Q6" s="26" t="s">
        <v>45</v>
      </c>
      <c r="R6" s="26"/>
    </row>
    <row r="7" spans="1:20" x14ac:dyDescent="0.3">
      <c r="D7" s="1" t="s">
        <v>10</v>
      </c>
      <c r="E7" s="23">
        <v>5</v>
      </c>
      <c r="F7" s="24"/>
      <c r="G7" s="23">
        <v>3</v>
      </c>
      <c r="H7" s="24"/>
      <c r="I7" s="23">
        <v>5</v>
      </c>
      <c r="J7" s="24"/>
      <c r="K7" s="23">
        <v>2</v>
      </c>
      <c r="L7" s="24"/>
      <c r="M7" s="23">
        <v>3</v>
      </c>
      <c r="N7" s="24"/>
      <c r="O7" s="23">
        <v>5</v>
      </c>
      <c r="P7" s="24"/>
      <c r="Q7" s="23">
        <v>2</v>
      </c>
      <c r="R7" s="24"/>
    </row>
    <row r="8" spans="1:20" x14ac:dyDescent="0.3">
      <c r="D8" s="1" t="s">
        <v>1</v>
      </c>
      <c r="E8" s="29">
        <v>45584</v>
      </c>
      <c r="F8" s="29"/>
      <c r="G8" s="29">
        <v>45607</v>
      </c>
      <c r="H8" s="29"/>
      <c r="I8" s="29">
        <v>45619</v>
      </c>
      <c r="J8" s="29"/>
      <c r="K8" s="29">
        <v>45682</v>
      </c>
      <c r="L8" s="29"/>
      <c r="M8" s="29">
        <v>45725</v>
      </c>
      <c r="N8" s="29"/>
      <c r="O8" s="29">
        <v>45746</v>
      </c>
      <c r="P8" s="29"/>
      <c r="Q8" s="29">
        <v>45774</v>
      </c>
      <c r="R8" s="29"/>
    </row>
    <row r="9" spans="1:20" x14ac:dyDescent="0.3">
      <c r="D9" s="1" t="s">
        <v>2</v>
      </c>
      <c r="E9" s="26">
        <v>105</v>
      </c>
      <c r="F9" s="26"/>
      <c r="G9" s="26">
        <v>0</v>
      </c>
      <c r="H9" s="26"/>
      <c r="I9" s="26">
        <v>128</v>
      </c>
      <c r="J9" s="26"/>
      <c r="K9" s="26">
        <v>3</v>
      </c>
      <c r="L9" s="26"/>
      <c r="M9" s="26">
        <v>16</v>
      </c>
      <c r="N9" s="26"/>
      <c r="O9" s="26">
        <v>74</v>
      </c>
      <c r="P9" s="26"/>
      <c r="Q9" s="26">
        <v>8</v>
      </c>
      <c r="R9" s="26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3">
      <c r="A11" s="5">
        <f t="shared" ref="A11:A34" si="0">T11</f>
        <v>1</v>
      </c>
      <c r="B11" s="6" t="s">
        <v>243</v>
      </c>
      <c r="C11" s="6" t="s">
        <v>440</v>
      </c>
      <c r="D11" s="6" t="s">
        <v>49</v>
      </c>
      <c r="F11" s="7">
        <f t="shared" ref="F11:F34" si="1">IF(E11=0,,($E$9-E11)*$E$7*100/$E$9)</f>
        <v>0</v>
      </c>
      <c r="H11" s="7">
        <f t="shared" ref="H11:H34" si="2">IF(G11=0,,($E$9-G11)*$E$7*100/$E$9)</f>
        <v>0</v>
      </c>
      <c r="I11">
        <v>100</v>
      </c>
      <c r="J11" s="7">
        <f t="shared" ref="J11:J34" si="3">IF(I11=0,,($I$9-I11)*$I$7*100/$I$9)</f>
        <v>109.375</v>
      </c>
      <c r="L11" s="7">
        <f t="shared" ref="L11:L23" si="4">IF(K11=0,,($K$9-K11)*$K$7*100/$K$9)</f>
        <v>0</v>
      </c>
      <c r="M11">
        <v>1</v>
      </c>
      <c r="N11" s="7">
        <f t="shared" ref="N11:N33" si="5">IF(M11=0,,($M$9-M11)*$M$7*100/$M$9)</f>
        <v>281.25</v>
      </c>
      <c r="P11" s="7">
        <f t="shared" ref="P11:P34" si="6">IF(O11=0,,($O$9-O11)*$O$7*100/$O$9)</f>
        <v>0</v>
      </c>
      <c r="Q11">
        <v>1</v>
      </c>
      <c r="R11" s="7">
        <f t="shared" ref="R11:R31" si="7">IF(Q11=0,,($Q$9-Q11)*$Q$7*100/$Q$9)</f>
        <v>175</v>
      </c>
      <c r="S11" s="8">
        <f t="shared" ref="S11:S34" si="8">SUM(F11,H11,N11,L11,R11,J11,P11)</f>
        <v>565.625</v>
      </c>
      <c r="T11" s="7">
        <f t="shared" ref="T11:T34" si="9">ROW(B11)-10</f>
        <v>1</v>
      </c>
    </row>
    <row r="12" spans="1:20" x14ac:dyDescent="0.3">
      <c r="A12" s="5">
        <f t="shared" si="0"/>
        <v>2</v>
      </c>
      <c r="B12" s="6" t="s">
        <v>223</v>
      </c>
      <c r="C12" s="6" t="s">
        <v>224</v>
      </c>
      <c r="D12" s="6" t="s">
        <v>72</v>
      </c>
      <c r="E12" s="7">
        <v>83</v>
      </c>
      <c r="F12" s="7">
        <f t="shared" si="1"/>
        <v>104.76190476190476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>
        <v>3</v>
      </c>
      <c r="N12" s="7">
        <f t="shared" si="5"/>
        <v>243.75</v>
      </c>
      <c r="O12" s="7"/>
      <c r="P12" s="7">
        <f t="shared" si="6"/>
        <v>0</v>
      </c>
      <c r="Q12" s="7"/>
      <c r="R12" s="7">
        <f t="shared" si="7"/>
        <v>0</v>
      </c>
      <c r="S12" s="8">
        <f t="shared" si="8"/>
        <v>348.51190476190476</v>
      </c>
      <c r="T12" s="7">
        <f t="shared" si="9"/>
        <v>2</v>
      </c>
    </row>
    <row r="13" spans="1:20" x14ac:dyDescent="0.3">
      <c r="A13" s="5">
        <f t="shared" si="0"/>
        <v>3</v>
      </c>
      <c r="B13" s="6" t="s">
        <v>317</v>
      </c>
      <c r="C13" s="6" t="s">
        <v>318</v>
      </c>
      <c r="D13" s="6" t="s">
        <v>89</v>
      </c>
      <c r="E13" s="6">
        <v>86</v>
      </c>
      <c r="F13" s="7">
        <f t="shared" si="1"/>
        <v>90.476190476190482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3</v>
      </c>
      <c r="N13" s="7">
        <f t="shared" si="5"/>
        <v>243.75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8"/>
        <v>334.22619047619048</v>
      </c>
      <c r="T13" s="7">
        <f t="shared" si="9"/>
        <v>3</v>
      </c>
    </row>
    <row r="14" spans="1:20" x14ac:dyDescent="0.3">
      <c r="A14" s="5">
        <f t="shared" si="0"/>
        <v>4</v>
      </c>
      <c r="B14" s="6" t="s">
        <v>311</v>
      </c>
      <c r="C14" s="6" t="s">
        <v>312</v>
      </c>
      <c r="D14" s="6" t="s">
        <v>89</v>
      </c>
      <c r="E14" s="7">
        <v>93</v>
      </c>
      <c r="F14" s="7">
        <f t="shared" si="1"/>
        <v>57.142857142857146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>
        <v>2</v>
      </c>
      <c r="N14" s="7">
        <f t="shared" si="5"/>
        <v>262.5</v>
      </c>
      <c r="O14" s="7"/>
      <c r="P14" s="7">
        <f t="shared" si="6"/>
        <v>0</v>
      </c>
      <c r="Q14" s="7"/>
      <c r="R14" s="7">
        <f t="shared" si="7"/>
        <v>0</v>
      </c>
      <c r="S14" s="8">
        <f t="shared" si="8"/>
        <v>319.64285714285717</v>
      </c>
      <c r="T14" s="7">
        <f t="shared" si="9"/>
        <v>4</v>
      </c>
    </row>
    <row r="15" spans="1:20" x14ac:dyDescent="0.3">
      <c r="A15" s="5">
        <f t="shared" si="0"/>
        <v>5</v>
      </c>
      <c r="B15" s="6" t="s">
        <v>246</v>
      </c>
      <c r="C15" s="6" t="s">
        <v>180</v>
      </c>
      <c r="D15" s="6" t="s">
        <v>306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9</v>
      </c>
      <c r="N15" s="7">
        <f t="shared" si="5"/>
        <v>131.25</v>
      </c>
      <c r="O15" s="6">
        <v>69</v>
      </c>
      <c r="P15" s="7">
        <f t="shared" si="6"/>
        <v>33.783783783783782</v>
      </c>
      <c r="Q15" s="6">
        <v>3</v>
      </c>
      <c r="R15" s="7">
        <f t="shared" si="7"/>
        <v>125</v>
      </c>
      <c r="S15" s="8">
        <f t="shared" si="8"/>
        <v>290.0337837837838</v>
      </c>
      <c r="T15" s="7">
        <f t="shared" si="9"/>
        <v>5</v>
      </c>
    </row>
    <row r="16" spans="1:20" x14ac:dyDescent="0.3">
      <c r="A16" s="5">
        <f t="shared" si="0"/>
        <v>6</v>
      </c>
      <c r="B16" s="6" t="s">
        <v>313</v>
      </c>
      <c r="C16" s="6" t="s">
        <v>314</v>
      </c>
      <c r="D16" s="6" t="s">
        <v>65</v>
      </c>
      <c r="E16" s="7">
        <v>91</v>
      </c>
      <c r="F16" s="7">
        <f t="shared" si="1"/>
        <v>66.666666666666671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>
        <v>5</v>
      </c>
      <c r="N16" s="7">
        <f t="shared" si="5"/>
        <v>206.25</v>
      </c>
      <c r="O16" s="7"/>
      <c r="P16" s="7">
        <f t="shared" si="6"/>
        <v>0</v>
      </c>
      <c r="Q16" s="7"/>
      <c r="R16" s="7">
        <f t="shared" si="7"/>
        <v>0</v>
      </c>
      <c r="S16" s="8">
        <f t="shared" si="8"/>
        <v>272.91666666666669</v>
      </c>
      <c r="T16" s="7">
        <f t="shared" si="9"/>
        <v>6</v>
      </c>
    </row>
    <row r="17" spans="1:20" x14ac:dyDescent="0.3">
      <c r="A17" s="5">
        <f t="shared" si="0"/>
        <v>7</v>
      </c>
      <c r="B17" s="6" t="s">
        <v>244</v>
      </c>
      <c r="C17" s="6" t="s">
        <v>560</v>
      </c>
      <c r="D17" s="6" t="s">
        <v>398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11</v>
      </c>
      <c r="N17" s="7">
        <f t="shared" si="5"/>
        <v>93.75</v>
      </c>
      <c r="O17" s="6"/>
      <c r="P17" s="7">
        <f t="shared" si="6"/>
        <v>0</v>
      </c>
      <c r="Q17" s="6">
        <v>2</v>
      </c>
      <c r="R17" s="7">
        <f t="shared" si="7"/>
        <v>150</v>
      </c>
      <c r="S17" s="8">
        <f t="shared" si="8"/>
        <v>243.75</v>
      </c>
      <c r="T17" s="7">
        <f t="shared" si="9"/>
        <v>7</v>
      </c>
    </row>
    <row r="18" spans="1:20" x14ac:dyDescent="0.3">
      <c r="A18" s="5">
        <f t="shared" si="0"/>
        <v>8</v>
      </c>
      <c r="B18" s="6" t="s">
        <v>553</v>
      </c>
      <c r="C18" s="6" t="s">
        <v>554</v>
      </c>
      <c r="D18" s="6" t="s">
        <v>48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6</v>
      </c>
      <c r="N18" s="7">
        <f t="shared" si="5"/>
        <v>187.5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187.5</v>
      </c>
      <c r="T18" s="7">
        <f t="shared" si="9"/>
        <v>8</v>
      </c>
    </row>
    <row r="19" spans="1:20" x14ac:dyDescent="0.3">
      <c r="A19" s="5">
        <f t="shared" si="0"/>
        <v>9</v>
      </c>
      <c r="B19" s="6" t="s">
        <v>555</v>
      </c>
      <c r="C19" s="6" t="s">
        <v>556</v>
      </c>
      <c r="D19" s="6" t="s">
        <v>48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>
        <v>7</v>
      </c>
      <c r="N19" s="7">
        <f t="shared" si="5"/>
        <v>168.75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168.75</v>
      </c>
      <c r="T19" s="7">
        <f t="shared" si="9"/>
        <v>9</v>
      </c>
    </row>
    <row r="20" spans="1:20" x14ac:dyDescent="0.3">
      <c r="A20" s="5">
        <f t="shared" si="0"/>
        <v>10</v>
      </c>
      <c r="B20" s="6" t="s">
        <v>557</v>
      </c>
      <c r="C20" s="6" t="s">
        <v>80</v>
      </c>
      <c r="D20" s="6" t="s">
        <v>65</v>
      </c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>
        <v>8</v>
      </c>
      <c r="N20" s="7">
        <f t="shared" si="5"/>
        <v>150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150</v>
      </c>
      <c r="T20" s="7">
        <f t="shared" si="9"/>
        <v>10</v>
      </c>
    </row>
    <row r="21" spans="1:20" x14ac:dyDescent="0.3">
      <c r="A21" s="5">
        <f t="shared" si="0"/>
        <v>11</v>
      </c>
      <c r="B21" s="6" t="s">
        <v>319</v>
      </c>
      <c r="C21" s="6" t="s">
        <v>62</v>
      </c>
      <c r="D21" s="6" t="s">
        <v>306</v>
      </c>
      <c r="E21" s="6">
        <v>76</v>
      </c>
      <c r="F21" s="7">
        <f t="shared" si="1"/>
        <v>138.0952380952381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138.0952380952381</v>
      </c>
      <c r="T21" s="7">
        <f t="shared" si="9"/>
        <v>11</v>
      </c>
    </row>
    <row r="22" spans="1:20" x14ac:dyDescent="0.3">
      <c r="A22" s="5">
        <f t="shared" si="0"/>
        <v>12</v>
      </c>
      <c r="B22" s="6" t="s">
        <v>516</v>
      </c>
      <c r="C22" s="6" t="s">
        <v>318</v>
      </c>
      <c r="D22" s="6" t="s">
        <v>517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>
        <v>1</v>
      </c>
      <c r="L22" s="7">
        <f t="shared" si="4"/>
        <v>133.33333333333334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133.33333333333334</v>
      </c>
      <c r="T22" s="7">
        <f t="shared" si="9"/>
        <v>12</v>
      </c>
    </row>
    <row r="23" spans="1:20" x14ac:dyDescent="0.3">
      <c r="A23" s="5">
        <f t="shared" si="0"/>
        <v>13</v>
      </c>
      <c r="B23" s="6" t="s">
        <v>591</v>
      </c>
      <c r="C23" s="6" t="s">
        <v>592</v>
      </c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>
        <v>3</v>
      </c>
      <c r="R23" s="7">
        <f t="shared" si="7"/>
        <v>125</v>
      </c>
      <c r="S23" s="8">
        <f t="shared" si="8"/>
        <v>125</v>
      </c>
      <c r="T23" s="7">
        <f t="shared" si="9"/>
        <v>13</v>
      </c>
    </row>
    <row r="24" spans="1:20" x14ac:dyDescent="0.3">
      <c r="A24" s="5">
        <f t="shared" si="0"/>
        <v>14</v>
      </c>
      <c r="B24" s="6" t="s">
        <v>308</v>
      </c>
      <c r="C24" s="6" t="s">
        <v>309</v>
      </c>
      <c r="D24" s="6" t="s">
        <v>306</v>
      </c>
      <c r="E24" s="7">
        <v>104</v>
      </c>
      <c r="F24" s="7">
        <f t="shared" si="1"/>
        <v>4.7619047619047619</v>
      </c>
      <c r="G24" s="7"/>
      <c r="H24" s="7">
        <f t="shared" si="2"/>
        <v>0</v>
      </c>
      <c r="I24" s="7"/>
      <c r="J24" s="7">
        <f t="shared" si="3"/>
        <v>0</v>
      </c>
      <c r="K24" s="7">
        <v>3</v>
      </c>
      <c r="L24" s="7">
        <f>67/2</f>
        <v>33.5</v>
      </c>
      <c r="M24" s="7">
        <v>14</v>
      </c>
      <c r="N24" s="7">
        <f t="shared" si="5"/>
        <v>37.5</v>
      </c>
      <c r="O24" s="7">
        <v>72</v>
      </c>
      <c r="P24" s="7">
        <f t="shared" si="6"/>
        <v>13.513513513513514</v>
      </c>
      <c r="Q24" s="7">
        <v>7</v>
      </c>
      <c r="R24" s="7">
        <f t="shared" si="7"/>
        <v>25</v>
      </c>
      <c r="S24" s="8">
        <f t="shared" si="8"/>
        <v>114.27541827541828</v>
      </c>
      <c r="T24" s="7">
        <f t="shared" si="9"/>
        <v>14</v>
      </c>
    </row>
    <row r="25" spans="1:20" x14ac:dyDescent="0.3">
      <c r="A25" s="5">
        <f t="shared" si="0"/>
        <v>15</v>
      </c>
      <c r="B25" s="6" t="s">
        <v>558</v>
      </c>
      <c r="C25" s="6" t="s">
        <v>559</v>
      </c>
      <c r="D25" s="6" t="s">
        <v>48</v>
      </c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ref="L25:L34" si="10">IF(K25=0,,($K$9-K25)*$K$7*100/$K$9)</f>
        <v>0</v>
      </c>
      <c r="M25" s="6">
        <v>10</v>
      </c>
      <c r="N25" s="7">
        <f t="shared" si="5"/>
        <v>112.5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8"/>
        <v>112.5</v>
      </c>
      <c r="T25" s="7">
        <f t="shared" si="9"/>
        <v>15</v>
      </c>
    </row>
    <row r="26" spans="1:20" x14ac:dyDescent="0.3">
      <c r="A26" s="5">
        <f t="shared" si="0"/>
        <v>16</v>
      </c>
      <c r="B26" s="6" t="s">
        <v>315</v>
      </c>
      <c r="C26" s="6" t="s">
        <v>316</v>
      </c>
      <c r="D26" s="6" t="s">
        <v>306</v>
      </c>
      <c r="E26" s="6">
        <v>90</v>
      </c>
      <c r="F26" s="7">
        <f t="shared" si="1"/>
        <v>71.428571428571431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10"/>
        <v>0</v>
      </c>
      <c r="M26" s="6"/>
      <c r="N26" s="7">
        <f t="shared" si="5"/>
        <v>0</v>
      </c>
      <c r="O26" s="6">
        <v>68</v>
      </c>
      <c r="P26" s="7">
        <f t="shared" si="6"/>
        <v>40.54054054054054</v>
      </c>
      <c r="Q26" s="6"/>
      <c r="R26" s="7">
        <f t="shared" si="7"/>
        <v>0</v>
      </c>
      <c r="S26" s="8">
        <f t="shared" si="8"/>
        <v>111.96911196911196</v>
      </c>
      <c r="T26" s="7">
        <f t="shared" si="9"/>
        <v>16</v>
      </c>
    </row>
    <row r="27" spans="1:20" x14ac:dyDescent="0.3">
      <c r="A27" s="5">
        <f t="shared" si="0"/>
        <v>17</v>
      </c>
      <c r="B27" s="6" t="s">
        <v>310</v>
      </c>
      <c r="C27" s="6" t="s">
        <v>62</v>
      </c>
      <c r="D27" s="6" t="s">
        <v>65</v>
      </c>
      <c r="E27" s="7">
        <v>100</v>
      </c>
      <c r="F27" s="7">
        <f t="shared" si="1"/>
        <v>23.80952380952381</v>
      </c>
      <c r="G27" s="7"/>
      <c r="H27" s="7">
        <f t="shared" si="2"/>
        <v>0</v>
      </c>
      <c r="I27" s="7"/>
      <c r="J27" s="7">
        <f t="shared" si="3"/>
        <v>0</v>
      </c>
      <c r="K27" s="7"/>
      <c r="L27" s="7">
        <f t="shared" si="10"/>
        <v>0</v>
      </c>
      <c r="M27" s="7">
        <v>12</v>
      </c>
      <c r="N27" s="7">
        <f t="shared" si="5"/>
        <v>75</v>
      </c>
      <c r="O27" s="7"/>
      <c r="P27" s="7">
        <f t="shared" si="6"/>
        <v>0</v>
      </c>
      <c r="Q27" s="7"/>
      <c r="R27" s="7">
        <f t="shared" si="7"/>
        <v>0</v>
      </c>
      <c r="S27" s="8">
        <f t="shared" si="8"/>
        <v>98.80952380952381</v>
      </c>
      <c r="T27" s="7">
        <f t="shared" si="9"/>
        <v>17</v>
      </c>
    </row>
    <row r="28" spans="1:20" x14ac:dyDescent="0.3">
      <c r="A28" s="5">
        <f t="shared" si="0"/>
        <v>18</v>
      </c>
      <c r="B28" s="6" t="s">
        <v>593</v>
      </c>
      <c r="C28" s="6" t="s">
        <v>594</v>
      </c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0"/>
        <v>0</v>
      </c>
      <c r="M28" s="6"/>
      <c r="N28" s="7">
        <f t="shared" si="5"/>
        <v>0</v>
      </c>
      <c r="O28" s="6"/>
      <c r="P28" s="7">
        <f t="shared" si="6"/>
        <v>0</v>
      </c>
      <c r="Q28" s="6">
        <v>5</v>
      </c>
      <c r="R28" s="7">
        <f t="shared" si="7"/>
        <v>75</v>
      </c>
      <c r="S28" s="8">
        <f t="shared" si="8"/>
        <v>75</v>
      </c>
      <c r="T28" s="7">
        <f t="shared" si="9"/>
        <v>18</v>
      </c>
    </row>
    <row r="29" spans="1:20" x14ac:dyDescent="0.3">
      <c r="A29" s="5">
        <f t="shared" si="0"/>
        <v>19</v>
      </c>
      <c r="B29" s="6" t="s">
        <v>514</v>
      </c>
      <c r="C29" s="6" t="s">
        <v>515</v>
      </c>
      <c r="D29" s="7" t="s">
        <v>423</v>
      </c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>
        <v>2</v>
      </c>
      <c r="L29" s="7">
        <f t="shared" si="10"/>
        <v>66.666666666666671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8"/>
        <v>66.666666666666671</v>
      </c>
      <c r="T29" s="7">
        <f t="shared" si="9"/>
        <v>19</v>
      </c>
    </row>
    <row r="30" spans="1:20" x14ac:dyDescent="0.3">
      <c r="A30" s="5">
        <f t="shared" si="0"/>
        <v>20</v>
      </c>
      <c r="B30" s="6" t="s">
        <v>561</v>
      </c>
      <c r="C30" s="6" t="s">
        <v>502</v>
      </c>
      <c r="D30" s="6" t="s">
        <v>48</v>
      </c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10"/>
        <v>0</v>
      </c>
      <c r="M30" s="6">
        <v>13</v>
      </c>
      <c r="N30" s="7">
        <f t="shared" si="5"/>
        <v>56.25</v>
      </c>
      <c r="O30" s="6"/>
      <c r="P30" s="7">
        <f t="shared" si="6"/>
        <v>0</v>
      </c>
      <c r="Q30" s="6"/>
      <c r="R30" s="7">
        <f t="shared" si="7"/>
        <v>0</v>
      </c>
      <c r="S30" s="8">
        <f t="shared" si="8"/>
        <v>56.25</v>
      </c>
      <c r="T30" s="7">
        <f t="shared" si="9"/>
        <v>20</v>
      </c>
    </row>
    <row r="31" spans="1:20" x14ac:dyDescent="0.3">
      <c r="A31" s="5">
        <f t="shared" si="0"/>
        <v>21</v>
      </c>
      <c r="B31" s="6" t="s">
        <v>595</v>
      </c>
      <c r="C31" s="6" t="s">
        <v>466</v>
      </c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0"/>
        <v>0</v>
      </c>
      <c r="M31" s="6"/>
      <c r="N31" s="7">
        <f t="shared" si="5"/>
        <v>0</v>
      </c>
      <c r="O31" s="6"/>
      <c r="P31" s="7">
        <f t="shared" si="6"/>
        <v>0</v>
      </c>
      <c r="Q31" s="6">
        <v>6</v>
      </c>
      <c r="R31" s="7">
        <f t="shared" si="7"/>
        <v>50</v>
      </c>
      <c r="S31" s="8">
        <f t="shared" si="8"/>
        <v>50</v>
      </c>
      <c r="T31" s="7">
        <f t="shared" si="9"/>
        <v>21</v>
      </c>
    </row>
    <row r="32" spans="1:20" x14ac:dyDescent="0.3">
      <c r="A32" s="5">
        <f t="shared" si="0"/>
        <v>22</v>
      </c>
      <c r="B32" s="6" t="s">
        <v>562</v>
      </c>
      <c r="C32" s="6" t="s">
        <v>191</v>
      </c>
      <c r="D32" s="6" t="s">
        <v>306</v>
      </c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0"/>
        <v>0</v>
      </c>
      <c r="M32" s="6">
        <v>15</v>
      </c>
      <c r="N32" s="7">
        <f t="shared" si="5"/>
        <v>18.75</v>
      </c>
      <c r="O32" s="6">
        <v>72</v>
      </c>
      <c r="P32" s="7">
        <f t="shared" si="6"/>
        <v>13.513513513513514</v>
      </c>
      <c r="Q32" s="6">
        <v>8</v>
      </c>
      <c r="R32" s="7">
        <f>25/2</f>
        <v>12.5</v>
      </c>
      <c r="S32" s="8">
        <f t="shared" si="8"/>
        <v>44.763513513513516</v>
      </c>
      <c r="T32" s="7">
        <f t="shared" si="9"/>
        <v>22</v>
      </c>
    </row>
    <row r="33" spans="1:20" x14ac:dyDescent="0.3">
      <c r="A33" s="5">
        <f t="shared" si="0"/>
        <v>23</v>
      </c>
      <c r="B33" s="16" t="s">
        <v>307</v>
      </c>
      <c r="C33" s="6" t="s">
        <v>305</v>
      </c>
      <c r="D33" s="6" t="s">
        <v>306</v>
      </c>
      <c r="E33" s="7">
        <v>103</v>
      </c>
      <c r="F33" s="7">
        <f t="shared" si="1"/>
        <v>9.5238095238095237</v>
      </c>
      <c r="G33" s="7"/>
      <c r="H33" s="7">
        <f t="shared" si="2"/>
        <v>0</v>
      </c>
      <c r="I33" s="7"/>
      <c r="J33" s="7">
        <f t="shared" si="3"/>
        <v>0</v>
      </c>
      <c r="K33" s="7"/>
      <c r="L33" s="7">
        <f t="shared" si="10"/>
        <v>0</v>
      </c>
      <c r="M33" s="7"/>
      <c r="N33" s="7">
        <f t="shared" si="5"/>
        <v>0</v>
      </c>
      <c r="O33" s="7"/>
      <c r="P33" s="7">
        <f t="shared" si="6"/>
        <v>0</v>
      </c>
      <c r="Q33" s="7"/>
      <c r="R33" s="7">
        <f>IF(Q33=0,,($Q$9-Q33)*$Q$7*100/$Q$9)</f>
        <v>0</v>
      </c>
      <c r="S33" s="8">
        <f t="shared" si="8"/>
        <v>9.5238095238095237</v>
      </c>
      <c r="T33" s="7">
        <f t="shared" si="9"/>
        <v>23</v>
      </c>
    </row>
    <row r="34" spans="1:20" x14ac:dyDescent="0.3">
      <c r="A34" s="5">
        <f t="shared" si="0"/>
        <v>24</v>
      </c>
      <c r="B34" s="6" t="s">
        <v>552</v>
      </c>
      <c r="C34" s="6" t="s">
        <v>78</v>
      </c>
      <c r="D34" s="6" t="s">
        <v>48</v>
      </c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0"/>
        <v>0</v>
      </c>
      <c r="M34" s="6">
        <v>16</v>
      </c>
      <c r="N34" s="7">
        <f>19/2</f>
        <v>9.5</v>
      </c>
      <c r="O34" s="6"/>
      <c r="P34" s="7">
        <f t="shared" si="6"/>
        <v>0</v>
      </c>
      <c r="Q34" s="6"/>
      <c r="R34" s="7">
        <f>IF(Q34=0,,($Q$9-Q34)*$Q$7*100/$Q$9)</f>
        <v>0</v>
      </c>
      <c r="S34" s="8">
        <f t="shared" si="8"/>
        <v>9.5</v>
      </c>
      <c r="T34" s="7">
        <f t="shared" si="9"/>
        <v>24</v>
      </c>
    </row>
    <row r="35" spans="1:20" x14ac:dyDescent="0.3">
      <c r="A35" s="27" t="s">
        <v>18</v>
      </c>
      <c r="B35" s="27"/>
      <c r="C35" s="28"/>
      <c r="E35">
        <f>COUNTA(E11:E34)</f>
        <v>9</v>
      </c>
      <c r="G35">
        <f>COUNTA(G11:G34)</f>
        <v>0</v>
      </c>
      <c r="I35">
        <f>COUNTA(I11:I34)</f>
        <v>1</v>
      </c>
      <c r="K35">
        <f>COUNTA(K11:K34)</f>
        <v>3</v>
      </c>
      <c r="M35">
        <f>COUNTA(M11:M34)</f>
        <v>16</v>
      </c>
      <c r="O35">
        <f>COUNTA(O11:O34)</f>
        <v>4</v>
      </c>
      <c r="Q35">
        <f>COUNTA(Q11:Q34)</f>
        <v>8</v>
      </c>
    </row>
    <row r="38" spans="1:20" x14ac:dyDescent="0.3">
      <c r="L38" t="s">
        <v>22</v>
      </c>
    </row>
    <row r="39" spans="1:20" x14ac:dyDescent="0.3">
      <c r="L39" t="s">
        <v>22</v>
      </c>
    </row>
  </sheetData>
  <sortState xmlns:xlrd2="http://schemas.microsoft.com/office/spreadsheetml/2017/richdata2" ref="A11:T34">
    <sortCondition descending="1" ref="S11:S34"/>
  </sortState>
  <mergeCells count="30">
    <mergeCell ref="O6:P6"/>
    <mergeCell ref="O7:P7"/>
    <mergeCell ref="O8:P8"/>
    <mergeCell ref="O9:P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28" sqref="K28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88671875" bestFit="1" customWidth="1"/>
    <col min="5" max="5" width="11.44140625" customWidth="1"/>
    <col min="6" max="6" width="7.6640625" customWidth="1"/>
    <col min="7" max="7" width="11.44140625" customWidth="1"/>
    <col min="8" max="8" width="7" customWidth="1"/>
    <col min="9" max="9" width="11.44140625" customWidth="1"/>
    <col min="10" max="10" width="14.44140625" customWidth="1"/>
    <col min="11" max="11" width="11.44140625" customWidth="1"/>
    <col min="12" max="12" width="20.8867187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18" ht="31.2" x14ac:dyDescent="0.6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8" x14ac:dyDescent="0.3">
      <c r="B3" s="2"/>
    </row>
    <row r="4" spans="1:18" x14ac:dyDescent="0.3">
      <c r="B4" s="2"/>
      <c r="C4" s="3"/>
    </row>
    <row r="6" spans="1:18" x14ac:dyDescent="0.3">
      <c r="D6" s="1" t="s">
        <v>0</v>
      </c>
      <c r="E6" s="26" t="s">
        <v>233</v>
      </c>
      <c r="F6" s="26"/>
      <c r="G6" s="26" t="s">
        <v>231</v>
      </c>
      <c r="H6" s="26"/>
      <c r="I6" s="26" t="s">
        <v>41</v>
      </c>
      <c r="J6" s="26"/>
      <c r="K6" s="26" t="s">
        <v>536</v>
      </c>
      <c r="L6" s="26"/>
      <c r="M6" s="26" t="s">
        <v>234</v>
      </c>
      <c r="N6" s="26"/>
      <c r="O6" s="26" t="s">
        <v>45</v>
      </c>
      <c r="P6" s="26"/>
    </row>
    <row r="7" spans="1:18" x14ac:dyDescent="0.3">
      <c r="D7" s="1" t="s">
        <v>10</v>
      </c>
      <c r="E7" s="23">
        <v>5</v>
      </c>
      <c r="F7" s="24"/>
      <c r="G7" s="23">
        <v>3</v>
      </c>
      <c r="H7" s="24"/>
      <c r="I7" s="23">
        <v>2</v>
      </c>
      <c r="J7" s="24"/>
      <c r="K7" s="23">
        <v>3</v>
      </c>
      <c r="L7" s="24"/>
      <c r="M7" s="23">
        <v>5</v>
      </c>
      <c r="N7" s="24"/>
      <c r="O7" s="23">
        <v>2</v>
      </c>
      <c r="P7" s="24"/>
    </row>
    <row r="8" spans="1:18" x14ac:dyDescent="0.3">
      <c r="D8" s="1" t="s">
        <v>1</v>
      </c>
      <c r="E8" s="29">
        <v>45584</v>
      </c>
      <c r="F8" s="29"/>
      <c r="G8" s="29">
        <v>45607</v>
      </c>
      <c r="H8" s="29"/>
      <c r="I8" s="29">
        <v>45682</v>
      </c>
      <c r="J8" s="29"/>
      <c r="K8" s="29">
        <v>45725</v>
      </c>
      <c r="L8" s="29"/>
      <c r="M8" s="29">
        <v>45746</v>
      </c>
      <c r="N8" s="29"/>
      <c r="O8" s="29">
        <v>45774</v>
      </c>
      <c r="P8" s="29"/>
    </row>
    <row r="9" spans="1:18" x14ac:dyDescent="0.3">
      <c r="D9" s="1" t="s">
        <v>2</v>
      </c>
      <c r="E9" s="26">
        <v>61</v>
      </c>
      <c r="F9" s="26"/>
      <c r="G9" s="26">
        <v>0</v>
      </c>
      <c r="H9" s="26"/>
      <c r="I9" s="26">
        <v>2</v>
      </c>
      <c r="J9" s="26"/>
      <c r="K9" s="26">
        <v>10</v>
      </c>
      <c r="L9" s="26"/>
      <c r="M9" s="26">
        <v>51</v>
      </c>
      <c r="N9" s="26"/>
      <c r="O9" s="26">
        <v>6</v>
      </c>
      <c r="P9" s="26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8" x14ac:dyDescent="0.3">
      <c r="A11" s="5">
        <f t="shared" ref="A11:A21" si="0">R11</f>
        <v>1</v>
      </c>
      <c r="B11" s="6" t="s">
        <v>110</v>
      </c>
      <c r="C11" s="6" t="s">
        <v>111</v>
      </c>
      <c r="D11" s="7" t="s">
        <v>65</v>
      </c>
      <c r="E11">
        <v>53</v>
      </c>
      <c r="F11" s="7">
        <f>IF(E11=0,,($E$9-E11)*$E$7*100/$E$9)</f>
        <v>65.573770491803273</v>
      </c>
      <c r="H11" s="7">
        <f>IF(G11=0,,($G$9-G11)*$G$7*100/$G$9)</f>
        <v>0</v>
      </c>
      <c r="J11" s="7">
        <f t="shared" ref="J11:J17" si="1">IF(I11=0,,($I$9-I11)*$I$7*100/$I$9)</f>
        <v>0</v>
      </c>
      <c r="K11">
        <v>2</v>
      </c>
      <c r="L11" s="7">
        <f t="shared" ref="L11:L21" si="2">IF(K11=0,,($K$9-K11)*$K$7*100/$K$9)</f>
        <v>240</v>
      </c>
      <c r="N11" s="7">
        <f t="shared" ref="N11:N21" si="3">IF(M11=0,,($M$9-M11)*$M$7*100/$M$9)</f>
        <v>0</v>
      </c>
      <c r="O11">
        <v>1</v>
      </c>
      <c r="P11" s="7">
        <f t="shared" ref="P11:P16" si="4">IF(O11=0,,($O$9-O11)*$O$7*100/$O$9)</f>
        <v>166.66666666666666</v>
      </c>
      <c r="Q11" s="8">
        <f t="shared" ref="Q11:Q21" si="5">SUM(F11,H11,L11,J11,P11,N11)</f>
        <v>472.24043715846994</v>
      </c>
      <c r="R11" s="7">
        <f t="shared" ref="R11:R21" si="6">ROW(B11)-10</f>
        <v>1</v>
      </c>
    </row>
    <row r="12" spans="1:18" x14ac:dyDescent="0.3">
      <c r="A12" s="5">
        <f t="shared" si="0"/>
        <v>2</v>
      </c>
      <c r="B12" s="6" t="s">
        <v>321</v>
      </c>
      <c r="C12" s="6" t="s">
        <v>322</v>
      </c>
      <c r="D12" s="6" t="s">
        <v>306</v>
      </c>
      <c r="E12" s="7">
        <v>60</v>
      </c>
      <c r="F12" s="7">
        <f>IF(E12=0,,($E$9-E12)*$E$7*100/$E$9)</f>
        <v>8.1967213114754092</v>
      </c>
      <c r="G12" s="7"/>
      <c r="H12" s="7">
        <f>IF(G12=0,,($E$9-G12)*$E$7*100/$E$9)</f>
        <v>0</v>
      </c>
      <c r="I12" s="7"/>
      <c r="J12" s="7">
        <f t="shared" si="1"/>
        <v>0</v>
      </c>
      <c r="K12" s="7">
        <v>3</v>
      </c>
      <c r="L12" s="7">
        <f t="shared" si="2"/>
        <v>210</v>
      </c>
      <c r="M12" s="7">
        <v>41</v>
      </c>
      <c r="N12" s="7">
        <f t="shared" si="3"/>
        <v>98.039215686274517</v>
      </c>
      <c r="O12" s="7">
        <v>2</v>
      </c>
      <c r="P12" s="7">
        <f t="shared" si="4"/>
        <v>133.33333333333334</v>
      </c>
      <c r="Q12" s="8">
        <f t="shared" si="5"/>
        <v>449.56927033108326</v>
      </c>
      <c r="R12" s="7">
        <f t="shared" si="6"/>
        <v>2</v>
      </c>
    </row>
    <row r="13" spans="1:18" x14ac:dyDescent="0.3">
      <c r="A13" s="5">
        <f t="shared" si="0"/>
        <v>3</v>
      </c>
      <c r="B13" s="6" t="s">
        <v>518</v>
      </c>
      <c r="C13" s="6" t="s">
        <v>90</v>
      </c>
      <c r="D13" s="6" t="s">
        <v>306</v>
      </c>
      <c r="E13" s="7"/>
      <c r="F13" s="7">
        <f>IF(E13=0,,($E$9-E13)*$E$7*100/$E$9)</f>
        <v>0</v>
      </c>
      <c r="G13" s="7"/>
      <c r="H13" s="7">
        <f>IF(G13=0,,($E$9-G13)*$E$7*100/$E$9)</f>
        <v>0</v>
      </c>
      <c r="I13" s="7">
        <v>1</v>
      </c>
      <c r="J13" s="7">
        <f t="shared" si="1"/>
        <v>100</v>
      </c>
      <c r="K13" s="7">
        <v>6</v>
      </c>
      <c r="L13" s="7">
        <f t="shared" si="2"/>
        <v>120</v>
      </c>
      <c r="M13" s="7">
        <v>50</v>
      </c>
      <c r="N13" s="7">
        <f t="shared" si="3"/>
        <v>9.8039215686274517</v>
      </c>
      <c r="O13" s="7">
        <v>3</v>
      </c>
      <c r="P13" s="7">
        <f t="shared" si="4"/>
        <v>100</v>
      </c>
      <c r="Q13" s="8">
        <f t="shared" si="5"/>
        <v>329.80392156862746</v>
      </c>
      <c r="R13" s="7">
        <f t="shared" si="6"/>
        <v>3</v>
      </c>
    </row>
    <row r="14" spans="1:18" x14ac:dyDescent="0.3">
      <c r="A14" s="5">
        <f t="shared" si="0"/>
        <v>4</v>
      </c>
      <c r="B14" s="6" t="s">
        <v>165</v>
      </c>
      <c r="C14" s="6" t="s">
        <v>226</v>
      </c>
      <c r="D14" s="6" t="s">
        <v>48</v>
      </c>
      <c r="E14" s="6"/>
      <c r="F14" s="6">
        <f>IF(E14=0,,$E$9+1-E14)</f>
        <v>0</v>
      </c>
      <c r="G14" s="6"/>
      <c r="H14" s="6">
        <f>IF(G14=0,,$E$9+1-G14)</f>
        <v>0</v>
      </c>
      <c r="I14" s="6"/>
      <c r="J14" s="7">
        <f t="shared" si="1"/>
        <v>0</v>
      </c>
      <c r="K14" s="6">
        <v>1</v>
      </c>
      <c r="L14" s="7">
        <f t="shared" si="2"/>
        <v>270</v>
      </c>
      <c r="M14" s="6"/>
      <c r="N14" s="7">
        <f t="shared" si="3"/>
        <v>0</v>
      </c>
      <c r="O14" s="6"/>
      <c r="P14" s="7">
        <f t="shared" si="4"/>
        <v>0</v>
      </c>
      <c r="Q14" s="8">
        <f t="shared" si="5"/>
        <v>270</v>
      </c>
      <c r="R14" s="6">
        <f t="shared" si="6"/>
        <v>4</v>
      </c>
    </row>
    <row r="15" spans="1:18" x14ac:dyDescent="0.3">
      <c r="A15" s="5">
        <f t="shared" si="0"/>
        <v>5</v>
      </c>
      <c r="B15" s="6" t="s">
        <v>550</v>
      </c>
      <c r="C15" s="6" t="s">
        <v>551</v>
      </c>
      <c r="D15" s="6" t="s">
        <v>48</v>
      </c>
      <c r="E15" s="6"/>
      <c r="F15" s="6">
        <f>IF(E15=0,,$E$9+1-E15)</f>
        <v>0</v>
      </c>
      <c r="G15" s="6"/>
      <c r="H15" s="6">
        <f>IF(G15=0,,$E$9+1-G15)</f>
        <v>0</v>
      </c>
      <c r="I15" s="6"/>
      <c r="J15" s="7">
        <f t="shared" si="1"/>
        <v>0</v>
      </c>
      <c r="K15" s="6">
        <v>3</v>
      </c>
      <c r="L15" s="7">
        <f t="shared" si="2"/>
        <v>210</v>
      </c>
      <c r="M15" s="6"/>
      <c r="N15" s="7">
        <f t="shared" si="3"/>
        <v>0</v>
      </c>
      <c r="O15" s="6"/>
      <c r="P15" s="7">
        <f t="shared" si="4"/>
        <v>0</v>
      </c>
      <c r="Q15" s="8">
        <f t="shared" si="5"/>
        <v>210</v>
      </c>
      <c r="R15" s="6">
        <f t="shared" si="6"/>
        <v>5</v>
      </c>
    </row>
    <row r="16" spans="1:18" x14ac:dyDescent="0.3">
      <c r="A16" s="5">
        <f t="shared" si="0"/>
        <v>6</v>
      </c>
      <c r="B16" s="6" t="s">
        <v>547</v>
      </c>
      <c r="C16" s="6" t="s">
        <v>548</v>
      </c>
      <c r="D16" s="6" t="s">
        <v>398</v>
      </c>
      <c r="E16" s="6"/>
      <c r="F16" s="6">
        <f>IF(E16=0,,$E$9+1-E16)</f>
        <v>0</v>
      </c>
      <c r="G16" s="6"/>
      <c r="H16" s="6">
        <f>IF(G16=0,,$E$9+1-G16)</f>
        <v>0</v>
      </c>
      <c r="I16" s="6"/>
      <c r="J16" s="7">
        <f t="shared" si="1"/>
        <v>0</v>
      </c>
      <c r="K16" s="6">
        <v>7</v>
      </c>
      <c r="L16" s="7">
        <f t="shared" si="2"/>
        <v>90</v>
      </c>
      <c r="M16" s="6"/>
      <c r="N16" s="7">
        <f t="shared" si="3"/>
        <v>0</v>
      </c>
      <c r="O16" s="6">
        <v>3</v>
      </c>
      <c r="P16" s="7">
        <f t="shared" si="4"/>
        <v>100</v>
      </c>
      <c r="Q16" s="8">
        <f t="shared" si="5"/>
        <v>190</v>
      </c>
      <c r="R16" s="6">
        <f t="shared" si="6"/>
        <v>6</v>
      </c>
    </row>
    <row r="17" spans="1:18" x14ac:dyDescent="0.3">
      <c r="A17" s="5">
        <f t="shared" si="0"/>
        <v>7</v>
      </c>
      <c r="B17" s="6" t="s">
        <v>549</v>
      </c>
      <c r="C17" s="6" t="s">
        <v>508</v>
      </c>
      <c r="D17" s="6" t="s">
        <v>221</v>
      </c>
      <c r="E17" s="6"/>
      <c r="F17" s="6">
        <f>IF(E17=0,,$E$9+1-E17)</f>
        <v>0</v>
      </c>
      <c r="G17" s="6"/>
      <c r="H17" s="6">
        <f>IF(G17=0,,$E$9+1-G17)</f>
        <v>0</v>
      </c>
      <c r="I17" s="6"/>
      <c r="J17" s="7">
        <f t="shared" si="1"/>
        <v>0</v>
      </c>
      <c r="K17" s="6">
        <v>5</v>
      </c>
      <c r="L17" s="7">
        <f t="shared" si="2"/>
        <v>150</v>
      </c>
      <c r="M17" s="6"/>
      <c r="N17" s="7">
        <f t="shared" si="3"/>
        <v>0</v>
      </c>
      <c r="O17" s="6">
        <v>6</v>
      </c>
      <c r="P17" s="7">
        <f>33/2</f>
        <v>16.5</v>
      </c>
      <c r="Q17" s="8">
        <f t="shared" si="5"/>
        <v>166.5</v>
      </c>
      <c r="R17" s="6">
        <f t="shared" si="6"/>
        <v>7</v>
      </c>
    </row>
    <row r="18" spans="1:18" x14ac:dyDescent="0.3">
      <c r="A18" s="5">
        <f t="shared" si="0"/>
        <v>8</v>
      </c>
      <c r="B18" s="6" t="s">
        <v>323</v>
      </c>
      <c r="C18" s="6" t="s">
        <v>227</v>
      </c>
      <c r="D18" s="6" t="s">
        <v>306</v>
      </c>
      <c r="E18" s="7">
        <v>61</v>
      </c>
      <c r="F18" s="7">
        <f>8/2</f>
        <v>4</v>
      </c>
      <c r="G18" s="7"/>
      <c r="H18" s="7">
        <f>IF(G18=0,,($E$9-G18)*$E$7*100/$E$9)</f>
        <v>0</v>
      </c>
      <c r="I18" s="7">
        <v>2</v>
      </c>
      <c r="J18" s="7">
        <v>50</v>
      </c>
      <c r="K18" s="7">
        <v>10</v>
      </c>
      <c r="L18" s="7">
        <f t="shared" si="2"/>
        <v>0</v>
      </c>
      <c r="M18" s="7">
        <v>48</v>
      </c>
      <c r="N18" s="7">
        <f t="shared" si="3"/>
        <v>29.411764705882351</v>
      </c>
      <c r="O18" s="7">
        <v>5</v>
      </c>
      <c r="P18" s="7">
        <f>IF(O18=0,,($O$9-O18)*$O$7*100/$O$9)</f>
        <v>33.333333333333336</v>
      </c>
      <c r="Q18" s="8">
        <f t="shared" si="5"/>
        <v>116.74509803921569</v>
      </c>
      <c r="R18" s="7">
        <f t="shared" si="6"/>
        <v>8</v>
      </c>
    </row>
    <row r="19" spans="1:18" x14ac:dyDescent="0.3">
      <c r="A19" s="5">
        <f t="shared" si="0"/>
        <v>9</v>
      </c>
      <c r="B19" s="6" t="s">
        <v>545</v>
      </c>
      <c r="C19" s="6" t="s">
        <v>546</v>
      </c>
      <c r="D19" s="6" t="s">
        <v>221</v>
      </c>
      <c r="E19" s="7"/>
      <c r="F19" s="7">
        <f>IF(E19=0,,($E$9-E19)*$E$7*100/$E$9)</f>
        <v>0</v>
      </c>
      <c r="G19" s="7"/>
      <c r="H19" s="7">
        <f>IF(G19=0,,($E$9-G19)*$E$7*100/$E$9)</f>
        <v>0</v>
      </c>
      <c r="I19" s="7"/>
      <c r="J19" s="7">
        <f>IF(I19=0,,($I$9-I19)*$I$7*100/$I$9)</f>
        <v>0</v>
      </c>
      <c r="K19" s="7">
        <v>8</v>
      </c>
      <c r="L19" s="7">
        <f t="shared" si="2"/>
        <v>60</v>
      </c>
      <c r="M19" s="7"/>
      <c r="N19" s="7">
        <f t="shared" si="3"/>
        <v>0</v>
      </c>
      <c r="O19" s="7"/>
      <c r="P19" s="7">
        <f>IF(O19=0,,($O$9-O19)*$O$7*100/$O$9)</f>
        <v>0</v>
      </c>
      <c r="Q19" s="8">
        <f t="shared" si="5"/>
        <v>60</v>
      </c>
      <c r="R19" s="7">
        <f t="shared" si="6"/>
        <v>9</v>
      </c>
    </row>
    <row r="20" spans="1:18" x14ac:dyDescent="0.3">
      <c r="A20" s="5">
        <f t="shared" si="0"/>
        <v>10</v>
      </c>
      <c r="B20" s="6" t="s">
        <v>542</v>
      </c>
      <c r="C20" s="6" t="s">
        <v>543</v>
      </c>
      <c r="D20" s="6" t="s">
        <v>544</v>
      </c>
      <c r="E20" s="7"/>
      <c r="F20" s="7">
        <f>IF(E20=0,,($E$9-E20)*$E$7*100/$E$9)</f>
        <v>0</v>
      </c>
      <c r="G20" s="7"/>
      <c r="H20" s="7">
        <f>IF(G20=0,,($E$9-G20)*$E$7*100/$E$9)</f>
        <v>0</v>
      </c>
      <c r="I20" s="7"/>
      <c r="J20" s="7">
        <f>IF(I20=0,,($I$9-I20)*$I$7*100/$I$9)</f>
        <v>0</v>
      </c>
      <c r="K20" s="7">
        <v>9</v>
      </c>
      <c r="L20" s="7">
        <f t="shared" si="2"/>
        <v>30</v>
      </c>
      <c r="M20" s="7"/>
      <c r="N20" s="7">
        <f t="shared" si="3"/>
        <v>0</v>
      </c>
      <c r="O20" s="7"/>
      <c r="P20" s="7">
        <f>IF(O20=0,,($O$9-O20)*$O$7*100/$O$9)</f>
        <v>0</v>
      </c>
      <c r="Q20" s="8">
        <f t="shared" si="5"/>
        <v>30</v>
      </c>
      <c r="R20" s="7">
        <f t="shared" si="6"/>
        <v>10</v>
      </c>
    </row>
    <row r="21" spans="1:18" x14ac:dyDescent="0.3">
      <c r="A21" s="5">
        <f t="shared" si="0"/>
        <v>11</v>
      </c>
      <c r="B21" s="6" t="s">
        <v>320</v>
      </c>
      <c r="C21" s="6" t="s">
        <v>324</v>
      </c>
      <c r="D21" s="6" t="s">
        <v>306</v>
      </c>
      <c r="E21" s="7">
        <v>59</v>
      </c>
      <c r="F21" s="7">
        <f>IF(E21=0,,($E$9-E21)*$E$7*100/$E$9)</f>
        <v>16.393442622950818</v>
      </c>
      <c r="G21" s="7"/>
      <c r="H21" s="7">
        <f>IF(G21=0,,($E$9-G21)*$E$7*100/$E$9)</f>
        <v>0</v>
      </c>
      <c r="I21" s="7"/>
      <c r="J21" s="7">
        <f>IF(I21=0,,($I$9-I21)*$I$7*100/$I$9)</f>
        <v>0</v>
      </c>
      <c r="K21" s="7"/>
      <c r="L21" s="7">
        <f t="shared" si="2"/>
        <v>0</v>
      </c>
      <c r="M21" s="7"/>
      <c r="N21" s="7">
        <f t="shared" si="3"/>
        <v>0</v>
      </c>
      <c r="O21" s="7"/>
      <c r="P21" s="7">
        <f>IF(O21=0,,($O$9-O21)*$O$7*100/$O$9)</f>
        <v>0</v>
      </c>
      <c r="Q21" s="8">
        <f t="shared" si="5"/>
        <v>16.393442622950818</v>
      </c>
      <c r="R21" s="7">
        <f t="shared" si="6"/>
        <v>11</v>
      </c>
    </row>
    <row r="22" spans="1:18" x14ac:dyDescent="0.3">
      <c r="A22" s="5"/>
      <c r="B22" s="6"/>
      <c r="C22" s="6"/>
      <c r="D22" s="6"/>
      <c r="E22" s="6"/>
      <c r="F22" s="6">
        <f t="shared" ref="F22:F33" si="7">IF(E22=0,,$E$9+1-E22)</f>
        <v>0</v>
      </c>
      <c r="G22" s="6"/>
      <c r="H22" s="6">
        <f t="shared" ref="H22:H33" si="8">IF(G22=0,,$E$9+1-G22)</f>
        <v>0</v>
      </c>
      <c r="I22" s="6"/>
      <c r="J22" s="7">
        <f t="shared" ref="J22:J33" si="9">IF(I22=0,,($I$9-I22)*$I$7*100/$I$9)</f>
        <v>0</v>
      </c>
      <c r="K22" s="6"/>
      <c r="L22" s="7">
        <f t="shared" ref="L22:L33" si="10">IF(K22=0,,($K$9-K22)*$K$7*100/$K$9)</f>
        <v>0</v>
      </c>
      <c r="M22" s="6"/>
      <c r="N22" s="7">
        <f t="shared" ref="N22:N33" si="11">IF(M22=0,,($M$9-M22)*$M$7*100/$M$9)</f>
        <v>0</v>
      </c>
      <c r="O22" s="6"/>
      <c r="P22" s="7">
        <f t="shared" ref="P22:P33" si="12">IF(O22=0,,($O$9-O22)*$O$7*100/$O$9)</f>
        <v>0</v>
      </c>
      <c r="Q22" s="8">
        <f t="shared" ref="Q22:Q33" si="13">SUM(F22,H22,L22,J22,P22,N22)</f>
        <v>0</v>
      </c>
      <c r="R22" s="6"/>
    </row>
    <row r="23" spans="1:18" x14ac:dyDescent="0.3">
      <c r="A23" s="6"/>
      <c r="B23" s="6"/>
      <c r="C23" s="6"/>
      <c r="D23" s="6"/>
      <c r="E23" s="6"/>
      <c r="F23" s="6">
        <f t="shared" si="7"/>
        <v>0</v>
      </c>
      <c r="G23" s="6"/>
      <c r="H23" s="6">
        <f t="shared" si="8"/>
        <v>0</v>
      </c>
      <c r="I23" s="6"/>
      <c r="J23" s="7">
        <f t="shared" si="9"/>
        <v>0</v>
      </c>
      <c r="K23" s="6"/>
      <c r="L23" s="7">
        <f t="shared" si="10"/>
        <v>0</v>
      </c>
      <c r="M23" s="6"/>
      <c r="N23" s="7">
        <f t="shared" si="11"/>
        <v>0</v>
      </c>
      <c r="O23" s="6"/>
      <c r="P23" s="7">
        <f t="shared" si="12"/>
        <v>0</v>
      </c>
      <c r="Q23" s="8">
        <f t="shared" si="13"/>
        <v>0</v>
      </c>
      <c r="R23" s="6"/>
    </row>
    <row r="24" spans="1:18" x14ac:dyDescent="0.3">
      <c r="A24" s="5"/>
      <c r="B24" s="6"/>
      <c r="C24" s="6"/>
      <c r="D24" s="6"/>
      <c r="E24" s="6"/>
      <c r="F24" s="6">
        <f t="shared" si="7"/>
        <v>0</v>
      </c>
      <c r="G24" s="6"/>
      <c r="H24" s="6">
        <f t="shared" si="8"/>
        <v>0</v>
      </c>
      <c r="I24" s="6"/>
      <c r="J24" s="7">
        <f t="shared" si="9"/>
        <v>0</v>
      </c>
      <c r="K24" s="6"/>
      <c r="L24" s="7">
        <f t="shared" si="10"/>
        <v>0</v>
      </c>
      <c r="M24" s="6"/>
      <c r="N24" s="7">
        <f t="shared" si="11"/>
        <v>0</v>
      </c>
      <c r="O24" s="6"/>
      <c r="P24" s="7">
        <f t="shared" si="12"/>
        <v>0</v>
      </c>
      <c r="Q24" s="8">
        <f t="shared" si="13"/>
        <v>0</v>
      </c>
      <c r="R24" s="6"/>
    </row>
    <row r="25" spans="1:18" x14ac:dyDescent="0.3">
      <c r="A25" s="5"/>
      <c r="B25" s="6"/>
      <c r="C25" s="6"/>
      <c r="D25" s="6"/>
      <c r="E25" s="6"/>
      <c r="F25" s="6">
        <f t="shared" si="7"/>
        <v>0</v>
      </c>
      <c r="G25" s="6"/>
      <c r="H25" s="6">
        <f t="shared" si="8"/>
        <v>0</v>
      </c>
      <c r="I25" s="6"/>
      <c r="J25" s="7">
        <f t="shared" si="9"/>
        <v>0</v>
      </c>
      <c r="K25" s="6"/>
      <c r="L25" s="7">
        <f t="shared" si="10"/>
        <v>0</v>
      </c>
      <c r="M25" s="6"/>
      <c r="N25" s="7">
        <f t="shared" si="11"/>
        <v>0</v>
      </c>
      <c r="O25" s="6"/>
      <c r="P25" s="7">
        <f t="shared" si="12"/>
        <v>0</v>
      </c>
      <c r="Q25" s="8">
        <f t="shared" si="13"/>
        <v>0</v>
      </c>
      <c r="R25" s="6"/>
    </row>
    <row r="26" spans="1:18" x14ac:dyDescent="0.3">
      <c r="A26" s="5"/>
      <c r="B26" s="6"/>
      <c r="C26" s="6"/>
      <c r="D26" s="6"/>
      <c r="E26" s="6"/>
      <c r="F26" s="6">
        <f t="shared" si="7"/>
        <v>0</v>
      </c>
      <c r="G26" s="6"/>
      <c r="H26" s="6">
        <f t="shared" si="8"/>
        <v>0</v>
      </c>
      <c r="I26" s="6"/>
      <c r="J26" s="7">
        <f t="shared" si="9"/>
        <v>0</v>
      </c>
      <c r="K26" s="6"/>
      <c r="L26" s="7">
        <f t="shared" si="10"/>
        <v>0</v>
      </c>
      <c r="M26" s="6"/>
      <c r="N26" s="7">
        <f t="shared" si="11"/>
        <v>0</v>
      </c>
      <c r="O26" s="6"/>
      <c r="P26" s="7">
        <f t="shared" si="12"/>
        <v>0</v>
      </c>
      <c r="Q26" s="8">
        <f t="shared" si="13"/>
        <v>0</v>
      </c>
      <c r="R26" s="6"/>
    </row>
    <row r="27" spans="1:18" x14ac:dyDescent="0.3">
      <c r="A27" s="5"/>
      <c r="B27" s="6"/>
      <c r="C27" s="6"/>
      <c r="D27" s="6"/>
      <c r="E27" s="6"/>
      <c r="F27" s="6">
        <f t="shared" si="7"/>
        <v>0</v>
      </c>
      <c r="G27" s="6"/>
      <c r="H27" s="6">
        <f t="shared" si="8"/>
        <v>0</v>
      </c>
      <c r="I27" s="6"/>
      <c r="J27" s="7">
        <f t="shared" si="9"/>
        <v>0</v>
      </c>
      <c r="K27" s="6"/>
      <c r="L27" s="7">
        <f t="shared" si="10"/>
        <v>0</v>
      </c>
      <c r="M27" s="6"/>
      <c r="N27" s="7">
        <f t="shared" si="11"/>
        <v>0</v>
      </c>
      <c r="O27" s="6"/>
      <c r="P27" s="7">
        <f t="shared" si="12"/>
        <v>0</v>
      </c>
      <c r="Q27" s="8">
        <f t="shared" si="13"/>
        <v>0</v>
      </c>
      <c r="R27" s="6"/>
    </row>
    <row r="28" spans="1:18" x14ac:dyDescent="0.3">
      <c r="A28" s="5"/>
      <c r="B28" s="6"/>
      <c r="C28" s="6"/>
      <c r="D28" s="6"/>
      <c r="E28" s="6"/>
      <c r="F28" s="6">
        <f t="shared" si="7"/>
        <v>0</v>
      </c>
      <c r="G28" s="6"/>
      <c r="H28" s="6">
        <f t="shared" si="8"/>
        <v>0</v>
      </c>
      <c r="I28" s="6"/>
      <c r="J28" s="7">
        <f t="shared" si="9"/>
        <v>0</v>
      </c>
      <c r="K28" s="6"/>
      <c r="L28" s="7">
        <f t="shared" si="10"/>
        <v>0</v>
      </c>
      <c r="M28" s="6"/>
      <c r="N28" s="7">
        <f t="shared" si="11"/>
        <v>0</v>
      </c>
      <c r="O28" s="6"/>
      <c r="P28" s="7">
        <f t="shared" si="12"/>
        <v>0</v>
      </c>
      <c r="Q28" s="8">
        <f t="shared" si="13"/>
        <v>0</v>
      </c>
      <c r="R28" s="6"/>
    </row>
    <row r="29" spans="1:18" x14ac:dyDescent="0.3">
      <c r="A29" s="5"/>
      <c r="B29" s="6"/>
      <c r="C29" s="6"/>
      <c r="D29" s="6"/>
      <c r="E29" s="6"/>
      <c r="F29" s="6">
        <f t="shared" si="7"/>
        <v>0</v>
      </c>
      <c r="G29" s="6"/>
      <c r="H29" s="6">
        <f t="shared" si="8"/>
        <v>0</v>
      </c>
      <c r="I29" s="6"/>
      <c r="J29" s="7">
        <f t="shared" si="9"/>
        <v>0</v>
      </c>
      <c r="K29" s="6"/>
      <c r="L29" s="7">
        <f t="shared" si="10"/>
        <v>0</v>
      </c>
      <c r="M29" s="6"/>
      <c r="N29" s="7">
        <f t="shared" si="11"/>
        <v>0</v>
      </c>
      <c r="O29" s="6"/>
      <c r="P29" s="7">
        <f t="shared" si="12"/>
        <v>0</v>
      </c>
      <c r="Q29" s="8">
        <f t="shared" si="13"/>
        <v>0</v>
      </c>
      <c r="R29" s="6"/>
    </row>
    <row r="30" spans="1:18" x14ac:dyDescent="0.3">
      <c r="A30" s="5"/>
      <c r="B30" s="6"/>
      <c r="C30" s="6"/>
      <c r="D30" s="6"/>
      <c r="E30" s="6"/>
      <c r="F30" s="6">
        <f t="shared" si="7"/>
        <v>0</v>
      </c>
      <c r="G30" s="6"/>
      <c r="H30" s="6">
        <f t="shared" si="8"/>
        <v>0</v>
      </c>
      <c r="I30" s="6"/>
      <c r="J30" s="7">
        <f t="shared" si="9"/>
        <v>0</v>
      </c>
      <c r="K30" s="6"/>
      <c r="L30" s="7">
        <f t="shared" si="10"/>
        <v>0</v>
      </c>
      <c r="M30" s="6"/>
      <c r="N30" s="7">
        <f t="shared" si="11"/>
        <v>0</v>
      </c>
      <c r="O30" s="6"/>
      <c r="P30" s="7">
        <f t="shared" si="12"/>
        <v>0</v>
      </c>
      <c r="Q30" s="8">
        <f t="shared" si="13"/>
        <v>0</v>
      </c>
      <c r="R30" s="6"/>
    </row>
    <row r="31" spans="1:18" x14ac:dyDescent="0.3">
      <c r="A31" s="5"/>
      <c r="B31" s="6"/>
      <c r="C31" s="6"/>
      <c r="D31" s="6"/>
      <c r="E31" s="6"/>
      <c r="F31" s="6">
        <f t="shared" si="7"/>
        <v>0</v>
      </c>
      <c r="G31" s="6"/>
      <c r="H31" s="6">
        <f t="shared" si="8"/>
        <v>0</v>
      </c>
      <c r="I31" s="6"/>
      <c r="J31" s="7">
        <f t="shared" si="9"/>
        <v>0</v>
      </c>
      <c r="K31" s="6"/>
      <c r="L31" s="7">
        <f t="shared" si="10"/>
        <v>0</v>
      </c>
      <c r="M31" s="6"/>
      <c r="N31" s="7">
        <f t="shared" si="11"/>
        <v>0</v>
      </c>
      <c r="O31" s="6"/>
      <c r="P31" s="7">
        <f t="shared" si="12"/>
        <v>0</v>
      </c>
      <c r="Q31" s="8">
        <f t="shared" si="13"/>
        <v>0</v>
      </c>
      <c r="R31" s="6"/>
    </row>
    <row r="32" spans="1:18" x14ac:dyDescent="0.3">
      <c r="A32" s="5"/>
      <c r="B32" s="6"/>
      <c r="C32" s="6"/>
      <c r="D32" s="6"/>
      <c r="E32" s="6"/>
      <c r="F32" s="6">
        <f t="shared" si="7"/>
        <v>0</v>
      </c>
      <c r="G32" s="6"/>
      <c r="H32" s="6">
        <f t="shared" si="8"/>
        <v>0</v>
      </c>
      <c r="I32" s="6"/>
      <c r="J32" s="7">
        <f t="shared" si="9"/>
        <v>0</v>
      </c>
      <c r="K32" s="6"/>
      <c r="L32" s="7">
        <f t="shared" si="10"/>
        <v>0</v>
      </c>
      <c r="M32" s="6"/>
      <c r="N32" s="7">
        <f t="shared" si="11"/>
        <v>0</v>
      </c>
      <c r="O32" s="6"/>
      <c r="P32" s="7">
        <f t="shared" si="12"/>
        <v>0</v>
      </c>
      <c r="Q32" s="8">
        <f t="shared" si="13"/>
        <v>0</v>
      </c>
      <c r="R32" s="6"/>
    </row>
    <row r="33" spans="1:18" x14ac:dyDescent="0.3">
      <c r="A33" s="5"/>
      <c r="B33" s="6"/>
      <c r="C33" s="6"/>
      <c r="D33" s="6"/>
      <c r="E33" s="6"/>
      <c r="F33" s="6">
        <f t="shared" si="7"/>
        <v>0</v>
      </c>
      <c r="G33" s="6"/>
      <c r="H33" s="6">
        <f t="shared" si="8"/>
        <v>0</v>
      </c>
      <c r="I33" s="6"/>
      <c r="J33" s="7">
        <f t="shared" si="9"/>
        <v>0</v>
      </c>
      <c r="K33" s="6"/>
      <c r="L33" s="7">
        <f t="shared" si="10"/>
        <v>0</v>
      </c>
      <c r="M33" s="6"/>
      <c r="N33" s="7">
        <f t="shared" si="11"/>
        <v>0</v>
      </c>
      <c r="O33" s="6"/>
      <c r="P33" s="7">
        <f t="shared" si="12"/>
        <v>0</v>
      </c>
      <c r="Q33" s="8">
        <f t="shared" si="13"/>
        <v>0</v>
      </c>
      <c r="R33" s="6"/>
    </row>
    <row r="34" spans="1:18" x14ac:dyDescent="0.3">
      <c r="A34" s="27" t="s">
        <v>18</v>
      </c>
      <c r="B34" s="27"/>
      <c r="C34" s="28"/>
      <c r="E34">
        <f>COUNTA(E11:E33)</f>
        <v>4</v>
      </c>
      <c r="G34">
        <f>COUNTA(G11:G33)</f>
        <v>0</v>
      </c>
      <c r="I34">
        <f>COUNTA(I11:I33)</f>
        <v>2</v>
      </c>
      <c r="K34">
        <f>COUNTA(K11:K33)</f>
        <v>10</v>
      </c>
      <c r="M34">
        <f>COUNTA(M11:M33)</f>
        <v>3</v>
      </c>
      <c r="O34">
        <f>COUNTA(O11:O33)</f>
        <v>6</v>
      </c>
    </row>
  </sheetData>
  <sortState xmlns:xlrd2="http://schemas.microsoft.com/office/spreadsheetml/2017/richdata2" ref="A11:R21">
    <sortCondition descending="1" ref="Q11:Q21"/>
  </sortState>
  <mergeCells count="26">
    <mergeCell ref="M9:N9"/>
    <mergeCell ref="O9:P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O7:P7"/>
    <mergeCell ref="E8:F8"/>
    <mergeCell ref="G8:H8"/>
    <mergeCell ref="I8:J8"/>
    <mergeCell ref="K8:L8"/>
    <mergeCell ref="O8:P8"/>
    <mergeCell ref="A1:M1"/>
    <mergeCell ref="E6:F6"/>
    <mergeCell ref="G6:H6"/>
    <mergeCell ref="I6:J6"/>
    <mergeCell ref="K6:L6"/>
    <mergeCell ref="O6:P6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C4" sqref="C4"/>
    </sheetView>
  </sheetViews>
  <sheetFormatPr baseColWidth="10" defaultColWidth="11.44140625" defaultRowHeight="14.4" x14ac:dyDescent="0.3"/>
  <cols>
    <col min="1" max="1" width="18.33203125" bestFit="1" customWidth="1"/>
    <col min="2" max="2" width="17.6640625" bestFit="1" customWidth="1"/>
    <col min="4" max="4" width="16.109375" bestFit="1" customWidth="1"/>
    <col min="5" max="5" width="11.44140625" customWidth="1"/>
    <col min="6" max="6" width="14.33203125" customWidth="1"/>
    <col min="7" max="7" width="11.44140625" customWidth="1"/>
    <col min="8" max="8" width="12.6640625" customWidth="1"/>
    <col min="9" max="9" width="11.44140625" customWidth="1"/>
    <col min="10" max="10" width="10.6640625" customWidth="1"/>
    <col min="11" max="11" width="8.6640625" customWidth="1"/>
    <col min="12" max="12" width="9.44140625" customWidth="1"/>
    <col min="13" max="13" width="10.44140625" customWidth="1"/>
    <col min="14" max="14" width="14.88671875" customWidth="1"/>
    <col min="15" max="15" width="11.44140625" customWidth="1"/>
    <col min="16" max="16" width="20.8867187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44140625" bestFit="1" customWidth="1"/>
    <col min="25" max="25" width="18.44140625" bestFit="1" customWidth="1"/>
    <col min="26" max="26" width="20.33203125" bestFit="1" customWidth="1"/>
  </cols>
  <sheetData>
    <row r="1" spans="1:26" ht="31.2" x14ac:dyDescent="0.6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26" x14ac:dyDescent="0.3">
      <c r="E2" s="31" t="s">
        <v>32</v>
      </c>
      <c r="F2" s="31"/>
      <c r="G2" s="11">
        <f>COUNTA(B11:B33)</f>
        <v>17</v>
      </c>
    </row>
    <row r="3" spans="1:26" x14ac:dyDescent="0.3">
      <c r="B3" s="2"/>
      <c r="E3" s="31" t="s">
        <v>33</v>
      </c>
      <c r="F3" s="31"/>
      <c r="G3" s="11">
        <f>COUNTA(E8:V8)</f>
        <v>9</v>
      </c>
    </row>
    <row r="4" spans="1:26" x14ac:dyDescent="0.3">
      <c r="B4" s="2"/>
      <c r="C4" s="3"/>
    </row>
    <row r="6" spans="1:26" x14ac:dyDescent="0.3">
      <c r="D6" s="1" t="s">
        <v>0</v>
      </c>
      <c r="E6" s="26" t="s">
        <v>236</v>
      </c>
      <c r="F6" s="26"/>
      <c r="G6" s="26" t="s">
        <v>233</v>
      </c>
      <c r="H6" s="26"/>
      <c r="I6" s="26" t="s">
        <v>231</v>
      </c>
      <c r="J6" s="26"/>
      <c r="K6" s="26" t="s">
        <v>232</v>
      </c>
      <c r="L6" s="26"/>
      <c r="M6" s="26" t="s">
        <v>230</v>
      </c>
      <c r="N6" s="26"/>
      <c r="O6" s="26" t="s">
        <v>536</v>
      </c>
      <c r="P6" s="26"/>
      <c r="Q6" s="26" t="s">
        <v>234</v>
      </c>
      <c r="R6" s="26"/>
      <c r="S6" s="26" t="s">
        <v>45</v>
      </c>
      <c r="T6" s="26"/>
      <c r="U6" s="26" t="s">
        <v>235</v>
      </c>
      <c r="V6" s="26"/>
    </row>
    <row r="7" spans="1:26" x14ac:dyDescent="0.3">
      <c r="D7" s="1" t="s">
        <v>10</v>
      </c>
      <c r="E7" s="23">
        <v>2</v>
      </c>
      <c r="F7" s="24"/>
      <c r="G7" s="23">
        <v>5</v>
      </c>
      <c r="H7" s="24"/>
      <c r="I7" s="23">
        <v>3</v>
      </c>
      <c r="J7" s="24"/>
      <c r="K7" s="23">
        <v>5</v>
      </c>
      <c r="L7" s="24"/>
      <c r="M7" s="23">
        <v>2</v>
      </c>
      <c r="N7" s="24"/>
      <c r="O7" s="23">
        <v>3</v>
      </c>
      <c r="P7" s="24"/>
      <c r="Q7" s="23">
        <v>5</v>
      </c>
      <c r="R7" s="24"/>
      <c r="S7" s="23">
        <v>2</v>
      </c>
      <c r="T7" s="24"/>
      <c r="U7" s="23">
        <v>6</v>
      </c>
      <c r="V7" s="24"/>
    </row>
    <row r="8" spans="1:26" x14ac:dyDescent="0.3">
      <c r="D8" s="1" t="s">
        <v>1</v>
      </c>
      <c r="E8" s="29">
        <v>45585</v>
      </c>
      <c r="F8" s="29"/>
      <c r="G8" s="29">
        <v>45585</v>
      </c>
      <c r="H8" s="29"/>
      <c r="I8" s="29">
        <v>45607</v>
      </c>
      <c r="J8" s="29"/>
      <c r="K8" s="29">
        <v>45613</v>
      </c>
      <c r="L8" s="29"/>
      <c r="M8" s="29">
        <v>45682</v>
      </c>
      <c r="N8" s="29"/>
      <c r="O8" s="29">
        <v>45725</v>
      </c>
      <c r="P8" s="29"/>
      <c r="Q8" s="29">
        <v>45746</v>
      </c>
      <c r="R8" s="29"/>
      <c r="S8" s="29">
        <v>45774</v>
      </c>
      <c r="T8" s="29"/>
      <c r="U8" s="29">
        <v>45795</v>
      </c>
      <c r="V8" s="29"/>
      <c r="X8" s="11"/>
    </row>
    <row r="9" spans="1:26" x14ac:dyDescent="0.3">
      <c r="D9" s="1" t="s">
        <v>2</v>
      </c>
      <c r="E9" s="26">
        <v>13</v>
      </c>
      <c r="F9" s="26"/>
      <c r="G9" s="26">
        <v>115</v>
      </c>
      <c r="H9" s="26"/>
      <c r="I9" s="26">
        <v>9</v>
      </c>
      <c r="J9" s="26"/>
      <c r="K9" s="26">
        <v>110</v>
      </c>
      <c r="L9" s="26"/>
      <c r="M9" s="26">
        <v>2</v>
      </c>
      <c r="N9" s="26"/>
      <c r="O9" s="26">
        <v>9</v>
      </c>
      <c r="P9" s="26"/>
      <c r="Q9" s="26">
        <v>83</v>
      </c>
      <c r="R9" s="26"/>
      <c r="S9" s="26">
        <v>11</v>
      </c>
      <c r="T9" s="26"/>
      <c r="U9" s="26">
        <f>32+55</f>
        <v>87</v>
      </c>
      <c r="V9" s="26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34</v>
      </c>
      <c r="Y10" s="1" t="s">
        <v>9</v>
      </c>
      <c r="Z10" s="1" t="s">
        <v>36</v>
      </c>
    </row>
    <row r="11" spans="1:26" x14ac:dyDescent="0.3">
      <c r="A11" s="5">
        <f t="shared" ref="A11:A27" si="0">Y11</f>
        <v>1</v>
      </c>
      <c r="B11" s="6" t="s">
        <v>243</v>
      </c>
      <c r="C11" s="6" t="s">
        <v>194</v>
      </c>
      <c r="D11" s="6" t="s">
        <v>58</v>
      </c>
      <c r="E11" s="6">
        <v>2</v>
      </c>
      <c r="F11" s="17">
        <f>IF(E11=0,,($E$9-E11)*$E$7*100/$E$9)</f>
        <v>169.23076923076923</v>
      </c>
      <c r="G11" s="6">
        <v>63</v>
      </c>
      <c r="H11" s="17">
        <f t="shared" ref="H11:H27" si="1">IF(G11=0,,($G$9-G11)*$G$7*100/$G$9)</f>
        <v>226.08695652173913</v>
      </c>
      <c r="I11" s="6">
        <v>3</v>
      </c>
      <c r="J11" s="17">
        <f t="shared" ref="J11:J24" si="2">IF(I11=0,,($I$9-I11)*$I$7*100/$I$9)</f>
        <v>200</v>
      </c>
      <c r="K11" s="6">
        <v>82</v>
      </c>
      <c r="L11" s="7">
        <f t="shared" ref="L11:L27" si="3">IF(K11=0,,($K$9-K11)*$K$7*100/$K$9)</f>
        <v>127.27272727272727</v>
      </c>
      <c r="M11" s="6">
        <v>1</v>
      </c>
      <c r="N11" s="7">
        <f t="shared" ref="N11:N23" si="4">IF(M11=0,,($M$9-M11)*$M$7*100/$M$9)</f>
        <v>100</v>
      </c>
      <c r="O11" s="6">
        <v>2</v>
      </c>
      <c r="P11" s="17">
        <f t="shared" ref="P11:P25" si="5">IF(O11=0,,($O$9-O11)*$O$7*100/$O$9)</f>
        <v>233.33333333333334</v>
      </c>
      <c r="Q11" s="6"/>
      <c r="R11" s="7">
        <f t="shared" ref="R11:R27" si="6">IF(Q11=0,,($Q$9-Q11)*$Q$7*100/$Q$9)</f>
        <v>0</v>
      </c>
      <c r="S11" s="6">
        <v>3</v>
      </c>
      <c r="T11" s="7">
        <f>IF(S11=0,,($S$9-S11)*$S$7*100/$S$9)</f>
        <v>145.45454545454547</v>
      </c>
      <c r="U11" s="6">
        <f>32+42</f>
        <v>74</v>
      </c>
      <c r="V11" s="7">
        <f t="shared" ref="V11:V27" si="7">IF(U11=0,,($U$9-U11)*$U$7*100/$U$9)</f>
        <v>89.65517241379311</v>
      </c>
      <c r="W11" s="8">
        <f>F11+H11+J11+P11</f>
        <v>828.65105908584167</v>
      </c>
      <c r="X11" s="6">
        <f t="shared" ref="X11:X27" si="8">COUNTA(G11,U11,K11,O11,Q11,E11,I11)</f>
        <v>6</v>
      </c>
      <c r="Y11" s="6">
        <f t="shared" ref="Y11:Y27" si="9">ROW(B11)-10</f>
        <v>1</v>
      </c>
      <c r="Z11" s="13">
        <f t="shared" ref="Z11:Z27" si="10">X11/$G$3</f>
        <v>0.66666666666666663</v>
      </c>
    </row>
    <row r="12" spans="1:26" x14ac:dyDescent="0.3">
      <c r="A12" s="5">
        <f t="shared" si="0"/>
        <v>2</v>
      </c>
      <c r="B12" s="6" t="s">
        <v>328</v>
      </c>
      <c r="C12" s="6" t="s">
        <v>329</v>
      </c>
      <c r="D12" s="6" t="s">
        <v>49</v>
      </c>
      <c r="E12" s="6"/>
      <c r="F12" s="7">
        <f>IF(E12=0,,($E$9-E12)*$E$7*100/$E$9)</f>
        <v>0</v>
      </c>
      <c r="G12" s="6">
        <v>35</v>
      </c>
      <c r="H12" s="7">
        <f t="shared" si="1"/>
        <v>347.82608695652175</v>
      </c>
      <c r="I12" s="6">
        <v>2</v>
      </c>
      <c r="J12" s="7">
        <f t="shared" si="2"/>
        <v>233.33333333333334</v>
      </c>
      <c r="K12" s="6">
        <v>74</v>
      </c>
      <c r="L12" s="7">
        <f t="shared" si="3"/>
        <v>163.63636363636363</v>
      </c>
      <c r="M12" s="6"/>
      <c r="N12" s="7">
        <f t="shared" si="4"/>
        <v>0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ref="T12:T27" si="11">IF(S12=0,,($M$9-S12)*$M$7*100/$M$9)</f>
        <v>0</v>
      </c>
      <c r="U12" s="6"/>
      <c r="V12" s="7">
        <f t="shared" si="7"/>
        <v>0</v>
      </c>
      <c r="W12" s="8">
        <f t="shared" ref="W12:W17" si="12">H12+L12+R12+V12+F12+P12+N12+J12</f>
        <v>744.79578392621875</v>
      </c>
      <c r="X12" s="6">
        <f t="shared" si="8"/>
        <v>3</v>
      </c>
      <c r="Y12" s="6">
        <f t="shared" si="9"/>
        <v>2</v>
      </c>
      <c r="Z12" s="13">
        <f t="shared" si="10"/>
        <v>0.33333333333333331</v>
      </c>
    </row>
    <row r="13" spans="1:26" x14ac:dyDescent="0.3">
      <c r="A13" s="5">
        <f t="shared" si="0"/>
        <v>3</v>
      </c>
      <c r="B13" s="6" t="s">
        <v>52</v>
      </c>
      <c r="C13" s="6" t="s">
        <v>53</v>
      </c>
      <c r="D13" s="6" t="s">
        <v>48</v>
      </c>
      <c r="E13" s="6">
        <v>1</v>
      </c>
      <c r="F13" s="7">
        <f>IF(E13=0,,($E$9-E13)*$E$7*100/$E$9)</f>
        <v>184.61538461538461</v>
      </c>
      <c r="G13" s="6"/>
      <c r="H13" s="7">
        <f t="shared" si="1"/>
        <v>0</v>
      </c>
      <c r="I13" s="6">
        <v>1</v>
      </c>
      <c r="J13" s="7">
        <f t="shared" si="2"/>
        <v>266.66666666666669</v>
      </c>
      <c r="K13" s="6"/>
      <c r="L13" s="7">
        <f t="shared" si="3"/>
        <v>0</v>
      </c>
      <c r="M13" s="6"/>
      <c r="N13" s="7">
        <f t="shared" si="4"/>
        <v>0</v>
      </c>
      <c r="O13" s="6">
        <v>1</v>
      </c>
      <c r="P13" s="7">
        <f t="shared" si="5"/>
        <v>266.66666666666669</v>
      </c>
      <c r="Q13" s="6"/>
      <c r="R13" s="7">
        <f t="shared" si="6"/>
        <v>0</v>
      </c>
      <c r="S13" s="6"/>
      <c r="T13" s="7">
        <f t="shared" si="11"/>
        <v>0</v>
      </c>
      <c r="U13" s="6"/>
      <c r="V13" s="7">
        <f t="shared" si="7"/>
        <v>0</v>
      </c>
      <c r="W13" s="8">
        <f t="shared" si="12"/>
        <v>717.94871794871801</v>
      </c>
      <c r="X13" s="6">
        <f t="shared" si="8"/>
        <v>3</v>
      </c>
      <c r="Y13" s="6">
        <f t="shared" si="9"/>
        <v>3</v>
      </c>
      <c r="Z13" s="13">
        <f t="shared" si="10"/>
        <v>0.33333333333333331</v>
      </c>
    </row>
    <row r="14" spans="1:26" x14ac:dyDescent="0.3">
      <c r="A14" s="5">
        <f t="shared" si="0"/>
        <v>4</v>
      </c>
      <c r="B14" s="6" t="s">
        <v>244</v>
      </c>
      <c r="C14" s="6" t="s">
        <v>241</v>
      </c>
      <c r="D14" s="6" t="s">
        <v>65</v>
      </c>
      <c r="E14" s="6">
        <v>3</v>
      </c>
      <c r="F14" s="7">
        <f>IF(E14=0,,($E$9-E14)*$E$7*100/$E$9)</f>
        <v>153.84615384615384</v>
      </c>
      <c r="G14" s="6">
        <v>38</v>
      </c>
      <c r="H14" s="7">
        <f t="shared" si="1"/>
        <v>334.78260869565219</v>
      </c>
      <c r="I14" s="6"/>
      <c r="J14" s="7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>
        <v>7</v>
      </c>
      <c r="P14" s="7">
        <f t="shared" si="5"/>
        <v>66.666666666666671</v>
      </c>
      <c r="Q14" s="6"/>
      <c r="R14" s="7">
        <f t="shared" si="6"/>
        <v>0</v>
      </c>
      <c r="S14" s="6"/>
      <c r="T14" s="7">
        <f t="shared" si="11"/>
        <v>0</v>
      </c>
      <c r="U14" s="6"/>
      <c r="V14" s="7">
        <f t="shared" si="7"/>
        <v>0</v>
      </c>
      <c r="W14" s="8">
        <f t="shared" si="12"/>
        <v>555.29542920847268</v>
      </c>
      <c r="X14" s="6">
        <f t="shared" si="8"/>
        <v>3</v>
      </c>
      <c r="Y14" s="6">
        <f t="shared" si="9"/>
        <v>4</v>
      </c>
      <c r="Z14" s="13">
        <f t="shared" si="10"/>
        <v>0.33333333333333331</v>
      </c>
    </row>
    <row r="15" spans="1:26" x14ac:dyDescent="0.3">
      <c r="A15" s="5">
        <f t="shared" si="0"/>
        <v>5</v>
      </c>
      <c r="B15" s="6" t="s">
        <v>67</v>
      </c>
      <c r="C15" s="6" t="s">
        <v>66</v>
      </c>
      <c r="D15" s="6" t="s">
        <v>221</v>
      </c>
      <c r="E15" s="6">
        <v>13</v>
      </c>
      <c r="F15" s="7">
        <f>15/2</f>
        <v>7.5</v>
      </c>
      <c r="G15" s="6"/>
      <c r="H15" s="7">
        <f t="shared" si="1"/>
        <v>0</v>
      </c>
      <c r="I15" s="6">
        <v>3</v>
      </c>
      <c r="J15" s="17">
        <f t="shared" si="2"/>
        <v>200</v>
      </c>
      <c r="K15" s="6"/>
      <c r="L15" s="7">
        <f t="shared" si="3"/>
        <v>0</v>
      </c>
      <c r="M15" s="6"/>
      <c r="N15" s="7">
        <f t="shared" si="4"/>
        <v>0</v>
      </c>
      <c r="O15" s="6">
        <v>8</v>
      </c>
      <c r="P15" s="17">
        <f t="shared" si="5"/>
        <v>33.333333333333336</v>
      </c>
      <c r="Q15" s="6">
        <v>44</v>
      </c>
      <c r="R15" s="17">
        <f t="shared" si="6"/>
        <v>234.93975903614458</v>
      </c>
      <c r="S15" s="6"/>
      <c r="T15" s="7">
        <f t="shared" si="11"/>
        <v>0</v>
      </c>
      <c r="U15" s="6">
        <f>32+50</f>
        <v>82</v>
      </c>
      <c r="V15" s="17">
        <f t="shared" si="7"/>
        <v>34.482758620689658</v>
      </c>
      <c r="W15" s="8">
        <f>V15+P15+J15+R15</f>
        <v>502.75585099016757</v>
      </c>
      <c r="X15" s="6">
        <f t="shared" si="8"/>
        <v>5</v>
      </c>
      <c r="Y15" s="6">
        <f t="shared" si="9"/>
        <v>5</v>
      </c>
      <c r="Z15" s="13">
        <f t="shared" si="10"/>
        <v>0.55555555555555558</v>
      </c>
    </row>
    <row r="16" spans="1:26" x14ac:dyDescent="0.3">
      <c r="A16" s="5">
        <f t="shared" si="0"/>
        <v>6</v>
      </c>
      <c r="B16" s="6" t="s">
        <v>79</v>
      </c>
      <c r="C16" s="6" t="s">
        <v>80</v>
      </c>
      <c r="D16" s="6" t="s">
        <v>48</v>
      </c>
      <c r="E16" s="6">
        <v>3</v>
      </c>
      <c r="F16" s="7">
        <f t="shared" ref="F16:F27" si="13">IF(E16=0,,($E$9-E16)*$E$7*100/$E$9)</f>
        <v>153.84615384615384</v>
      </c>
      <c r="G16" s="6"/>
      <c r="H16" s="7">
        <f t="shared" si="1"/>
        <v>0</v>
      </c>
      <c r="I16" s="6">
        <v>7</v>
      </c>
      <c r="J16" s="7">
        <f t="shared" si="2"/>
        <v>66.666666666666671</v>
      </c>
      <c r="K16" s="6"/>
      <c r="L16" s="7">
        <f t="shared" si="3"/>
        <v>0</v>
      </c>
      <c r="M16" s="6"/>
      <c r="N16" s="7">
        <f t="shared" si="4"/>
        <v>0</v>
      </c>
      <c r="O16" s="6">
        <v>3</v>
      </c>
      <c r="P16" s="7">
        <f t="shared" si="5"/>
        <v>200</v>
      </c>
      <c r="Q16" s="6"/>
      <c r="R16" s="7">
        <f t="shared" si="6"/>
        <v>0</v>
      </c>
      <c r="S16" s="6"/>
      <c r="T16" s="7">
        <f t="shared" si="11"/>
        <v>0</v>
      </c>
      <c r="U16" s="6"/>
      <c r="V16" s="7">
        <f t="shared" si="7"/>
        <v>0</v>
      </c>
      <c r="W16" s="8">
        <f t="shared" si="12"/>
        <v>420.5128205128205</v>
      </c>
      <c r="X16" s="6">
        <f t="shared" si="8"/>
        <v>3</v>
      </c>
      <c r="Y16" s="6">
        <f t="shared" si="9"/>
        <v>6</v>
      </c>
      <c r="Z16" s="13">
        <f t="shared" si="10"/>
        <v>0.33333333333333331</v>
      </c>
    </row>
    <row r="17" spans="1:26" x14ac:dyDescent="0.3">
      <c r="A17" s="5">
        <f t="shared" si="0"/>
        <v>7</v>
      </c>
      <c r="B17" s="6" t="s">
        <v>73</v>
      </c>
      <c r="C17" s="6" t="s">
        <v>74</v>
      </c>
      <c r="D17" s="6" t="s">
        <v>48</v>
      </c>
      <c r="E17" s="6">
        <v>5</v>
      </c>
      <c r="F17" s="7">
        <f t="shared" si="13"/>
        <v>123.07692307692308</v>
      </c>
      <c r="G17" s="6"/>
      <c r="H17" s="7">
        <f t="shared" si="1"/>
        <v>0</v>
      </c>
      <c r="I17" s="6">
        <v>5</v>
      </c>
      <c r="J17" s="7">
        <f t="shared" si="2"/>
        <v>133.33333333333334</v>
      </c>
      <c r="K17" s="6"/>
      <c r="L17" s="7">
        <f t="shared" si="3"/>
        <v>0</v>
      </c>
      <c r="M17" s="6"/>
      <c r="N17" s="7">
        <f t="shared" si="4"/>
        <v>0</v>
      </c>
      <c r="O17" s="6">
        <v>6</v>
      </c>
      <c r="P17" s="7">
        <f t="shared" si="5"/>
        <v>100</v>
      </c>
      <c r="Q17" s="6"/>
      <c r="R17" s="7">
        <f t="shared" si="6"/>
        <v>0</v>
      </c>
      <c r="S17" s="6"/>
      <c r="T17" s="7">
        <f t="shared" si="11"/>
        <v>0</v>
      </c>
      <c r="U17" s="6"/>
      <c r="V17" s="7">
        <f t="shared" si="7"/>
        <v>0</v>
      </c>
      <c r="W17" s="8">
        <f t="shared" si="12"/>
        <v>356.41025641025647</v>
      </c>
      <c r="X17" s="6">
        <f t="shared" si="8"/>
        <v>3</v>
      </c>
      <c r="Y17" s="6">
        <f t="shared" si="9"/>
        <v>7</v>
      </c>
      <c r="Z17" s="13">
        <f t="shared" si="10"/>
        <v>0.33333333333333331</v>
      </c>
    </row>
    <row r="18" spans="1:26" x14ac:dyDescent="0.3">
      <c r="A18" s="5">
        <f t="shared" si="0"/>
        <v>8</v>
      </c>
      <c r="B18" s="6" t="s">
        <v>245</v>
      </c>
      <c r="C18" s="6" t="s">
        <v>164</v>
      </c>
      <c r="D18" s="6" t="s">
        <v>65</v>
      </c>
      <c r="E18" s="6">
        <v>9</v>
      </c>
      <c r="F18" s="7">
        <f t="shared" si="13"/>
        <v>61.53846153846154</v>
      </c>
      <c r="G18" s="6">
        <v>76</v>
      </c>
      <c r="H18" s="7">
        <f t="shared" si="1"/>
        <v>169.56521739130434</v>
      </c>
      <c r="I18" s="6"/>
      <c r="J18" s="7">
        <f t="shared" si="2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6">
        <v>1</v>
      </c>
      <c r="T18" s="7">
        <f t="shared" si="11"/>
        <v>100</v>
      </c>
      <c r="U18" s="6"/>
      <c r="V18" s="7">
        <f t="shared" si="7"/>
        <v>0</v>
      </c>
      <c r="W18" s="8">
        <f>H18+L18+R18+V18+F18+P18+N18+J18+T18</f>
        <v>331.10367892976592</v>
      </c>
      <c r="X18" s="6">
        <f t="shared" si="8"/>
        <v>2</v>
      </c>
      <c r="Y18" s="6">
        <f t="shared" si="9"/>
        <v>8</v>
      </c>
      <c r="Z18" s="13">
        <f t="shared" si="10"/>
        <v>0.22222222222222221</v>
      </c>
    </row>
    <row r="19" spans="1:26" x14ac:dyDescent="0.3">
      <c r="A19" s="5">
        <f t="shared" si="0"/>
        <v>9</v>
      </c>
      <c r="B19" s="6" t="s">
        <v>537</v>
      </c>
      <c r="C19" s="6" t="s">
        <v>538</v>
      </c>
      <c r="D19" s="6" t="s">
        <v>49</v>
      </c>
      <c r="E19" s="6">
        <v>12</v>
      </c>
      <c r="F19" s="7">
        <f t="shared" si="13"/>
        <v>15.384615384615385</v>
      </c>
      <c r="G19" s="6">
        <v>113</v>
      </c>
      <c r="H19" s="7">
        <f t="shared" si="1"/>
        <v>8.695652173913043</v>
      </c>
      <c r="I19" s="6"/>
      <c r="J19" s="7">
        <f t="shared" si="2"/>
        <v>0</v>
      </c>
      <c r="K19" s="6"/>
      <c r="L19" s="7">
        <f t="shared" si="3"/>
        <v>0</v>
      </c>
      <c r="M19" s="6"/>
      <c r="N19" s="7">
        <f t="shared" si="4"/>
        <v>0</v>
      </c>
      <c r="O19" s="6">
        <v>3</v>
      </c>
      <c r="P19" s="7">
        <f t="shared" si="5"/>
        <v>200</v>
      </c>
      <c r="Q19" s="6"/>
      <c r="R19" s="7">
        <f t="shared" si="6"/>
        <v>0</v>
      </c>
      <c r="S19" s="6"/>
      <c r="T19" s="7">
        <f t="shared" si="11"/>
        <v>0</v>
      </c>
      <c r="U19" s="6"/>
      <c r="V19" s="7">
        <f t="shared" si="7"/>
        <v>0</v>
      </c>
      <c r="W19" s="8">
        <f t="shared" ref="W19:W27" si="14">H19+L19+R19+V19+F19+P19+N19+J19</f>
        <v>224.08026755852842</v>
      </c>
      <c r="X19" s="6">
        <f t="shared" si="8"/>
        <v>3</v>
      </c>
      <c r="Y19" s="6">
        <f t="shared" si="9"/>
        <v>9</v>
      </c>
      <c r="Z19" s="13">
        <f t="shared" si="10"/>
        <v>0.33333333333333331</v>
      </c>
    </row>
    <row r="20" spans="1:26" x14ac:dyDescent="0.3">
      <c r="A20" s="5">
        <f t="shared" si="0"/>
        <v>10</v>
      </c>
      <c r="B20" s="6" t="s">
        <v>136</v>
      </c>
      <c r="C20" s="6" t="s">
        <v>210</v>
      </c>
      <c r="D20" s="6" t="s">
        <v>48</v>
      </c>
      <c r="E20" s="6">
        <v>8</v>
      </c>
      <c r="F20" s="7">
        <f t="shared" si="13"/>
        <v>76.92307692307692</v>
      </c>
      <c r="G20" s="6"/>
      <c r="H20" s="7">
        <f t="shared" si="1"/>
        <v>0</v>
      </c>
      <c r="I20" s="6"/>
      <c r="J20" s="7">
        <f t="shared" si="2"/>
        <v>0</v>
      </c>
      <c r="K20" s="6"/>
      <c r="L20" s="7">
        <f t="shared" si="3"/>
        <v>0</v>
      </c>
      <c r="M20" s="6"/>
      <c r="N20" s="7">
        <f t="shared" si="4"/>
        <v>0</v>
      </c>
      <c r="O20" s="6">
        <v>5</v>
      </c>
      <c r="P20" s="7">
        <f t="shared" si="5"/>
        <v>133.33333333333334</v>
      </c>
      <c r="Q20" s="6"/>
      <c r="R20" s="7">
        <f t="shared" si="6"/>
        <v>0</v>
      </c>
      <c r="S20" s="6"/>
      <c r="T20" s="7">
        <f t="shared" si="11"/>
        <v>0</v>
      </c>
      <c r="U20" s="6"/>
      <c r="V20" s="7">
        <f t="shared" si="7"/>
        <v>0</v>
      </c>
      <c r="W20" s="8">
        <f t="shared" si="14"/>
        <v>210.25641025641028</v>
      </c>
      <c r="X20" s="6">
        <f t="shared" si="8"/>
        <v>2</v>
      </c>
      <c r="Y20" s="6">
        <f t="shared" si="9"/>
        <v>10</v>
      </c>
      <c r="Z20" s="13">
        <f t="shared" si="10"/>
        <v>0.22222222222222221</v>
      </c>
    </row>
    <row r="21" spans="1:26" x14ac:dyDescent="0.3">
      <c r="A21" s="5">
        <f t="shared" si="0"/>
        <v>11</v>
      </c>
      <c r="B21" s="6" t="s">
        <v>81</v>
      </c>
      <c r="C21" s="6" t="s">
        <v>82</v>
      </c>
      <c r="D21" s="6" t="s">
        <v>72</v>
      </c>
      <c r="E21" s="6">
        <v>10</v>
      </c>
      <c r="F21" s="7">
        <f t="shared" si="13"/>
        <v>46.153846153846153</v>
      </c>
      <c r="G21" s="6"/>
      <c r="H21" s="7">
        <f t="shared" si="1"/>
        <v>0</v>
      </c>
      <c r="I21" s="6">
        <v>6</v>
      </c>
      <c r="J21" s="7">
        <f t="shared" si="2"/>
        <v>100</v>
      </c>
      <c r="K21" s="6"/>
      <c r="L21" s="7">
        <f t="shared" si="3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11"/>
        <v>0</v>
      </c>
      <c r="U21" s="6"/>
      <c r="V21" s="7">
        <f t="shared" si="7"/>
        <v>0</v>
      </c>
      <c r="W21" s="8">
        <f t="shared" si="14"/>
        <v>146.15384615384616</v>
      </c>
      <c r="X21" s="6">
        <f t="shared" si="8"/>
        <v>2</v>
      </c>
      <c r="Y21" s="6">
        <f t="shared" si="9"/>
        <v>11</v>
      </c>
      <c r="Z21" s="13">
        <f t="shared" si="10"/>
        <v>0.22222222222222221</v>
      </c>
    </row>
    <row r="22" spans="1:26" x14ac:dyDescent="0.3">
      <c r="A22" s="5">
        <f t="shared" si="0"/>
        <v>12</v>
      </c>
      <c r="B22" s="6" t="s">
        <v>223</v>
      </c>
      <c r="C22" s="6" t="s">
        <v>224</v>
      </c>
      <c r="D22" s="6" t="s">
        <v>72</v>
      </c>
      <c r="E22" s="6">
        <v>7</v>
      </c>
      <c r="F22" s="7">
        <f t="shared" si="13"/>
        <v>92.307692307692307</v>
      </c>
      <c r="G22" s="6">
        <v>107</v>
      </c>
      <c r="H22" s="7">
        <f t="shared" si="1"/>
        <v>34.782608695652172</v>
      </c>
      <c r="I22" s="6"/>
      <c r="J22" s="7">
        <f t="shared" si="2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11"/>
        <v>0</v>
      </c>
      <c r="U22" s="6"/>
      <c r="V22" s="7">
        <f t="shared" si="7"/>
        <v>0</v>
      </c>
      <c r="W22" s="8">
        <f t="shared" si="14"/>
        <v>127.09030100334448</v>
      </c>
      <c r="X22" s="6">
        <f t="shared" si="8"/>
        <v>2</v>
      </c>
      <c r="Y22" s="6">
        <f t="shared" si="9"/>
        <v>12</v>
      </c>
      <c r="Z22" s="13">
        <f t="shared" si="10"/>
        <v>0.22222222222222221</v>
      </c>
    </row>
    <row r="23" spans="1:26" x14ac:dyDescent="0.3">
      <c r="A23" s="5">
        <f t="shared" si="0"/>
        <v>13</v>
      </c>
      <c r="B23" s="6" t="s">
        <v>68</v>
      </c>
      <c r="C23" s="6" t="s">
        <v>69</v>
      </c>
      <c r="D23" s="6" t="s">
        <v>49</v>
      </c>
      <c r="E23" s="6">
        <v>6</v>
      </c>
      <c r="F23" s="7">
        <f t="shared" si="13"/>
        <v>107.69230769230769</v>
      </c>
      <c r="G23" s="6"/>
      <c r="H23" s="7">
        <f t="shared" si="1"/>
        <v>0</v>
      </c>
      <c r="I23" s="6"/>
      <c r="J23" s="7">
        <f t="shared" si="2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11"/>
        <v>0</v>
      </c>
      <c r="U23" s="6"/>
      <c r="V23" s="7">
        <f t="shared" si="7"/>
        <v>0</v>
      </c>
      <c r="W23" s="8">
        <f t="shared" si="14"/>
        <v>107.69230769230769</v>
      </c>
      <c r="X23" s="6">
        <f t="shared" si="8"/>
        <v>1</v>
      </c>
      <c r="Y23" s="6">
        <f t="shared" si="9"/>
        <v>13</v>
      </c>
      <c r="Z23" s="13">
        <f t="shared" si="10"/>
        <v>0.1111111111111111</v>
      </c>
    </row>
    <row r="24" spans="1:26" x14ac:dyDescent="0.3">
      <c r="A24" s="5">
        <f t="shared" si="0"/>
        <v>14</v>
      </c>
      <c r="B24" s="6" t="s">
        <v>522</v>
      </c>
      <c r="C24" s="6" t="s">
        <v>179</v>
      </c>
      <c r="D24" s="6" t="s">
        <v>523</v>
      </c>
      <c r="E24" s="6"/>
      <c r="F24" s="7">
        <f t="shared" si="13"/>
        <v>0</v>
      </c>
      <c r="G24" s="6"/>
      <c r="H24" s="7">
        <f t="shared" si="1"/>
        <v>0</v>
      </c>
      <c r="I24" s="6"/>
      <c r="J24" s="7">
        <f t="shared" si="2"/>
        <v>0</v>
      </c>
      <c r="K24" s="6"/>
      <c r="L24" s="7">
        <f t="shared" si="3"/>
        <v>0</v>
      </c>
      <c r="M24" s="6">
        <v>2</v>
      </c>
      <c r="N24" s="7">
        <v>50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11"/>
        <v>0</v>
      </c>
      <c r="U24" s="6"/>
      <c r="V24" s="7">
        <f t="shared" si="7"/>
        <v>0</v>
      </c>
      <c r="W24" s="8">
        <f t="shared" si="14"/>
        <v>50</v>
      </c>
      <c r="X24" s="6">
        <f t="shared" si="8"/>
        <v>0</v>
      </c>
      <c r="Y24" s="6">
        <f t="shared" si="9"/>
        <v>14</v>
      </c>
      <c r="Z24" s="13">
        <f t="shared" si="10"/>
        <v>0</v>
      </c>
    </row>
    <row r="25" spans="1:26" x14ac:dyDescent="0.3">
      <c r="A25" s="5">
        <f t="shared" si="0"/>
        <v>15</v>
      </c>
      <c r="B25" s="6" t="s">
        <v>246</v>
      </c>
      <c r="C25" s="6" t="s">
        <v>180</v>
      </c>
      <c r="D25" s="6" t="s">
        <v>242</v>
      </c>
      <c r="E25" s="6">
        <v>11</v>
      </c>
      <c r="F25" s="7">
        <f t="shared" si="13"/>
        <v>30.76923076923077</v>
      </c>
      <c r="G25" s="6"/>
      <c r="H25" s="7">
        <f t="shared" si="1"/>
        <v>0</v>
      </c>
      <c r="I25" s="6">
        <v>9</v>
      </c>
      <c r="J25" s="7">
        <f>33/2</f>
        <v>16.5</v>
      </c>
      <c r="K25" s="6"/>
      <c r="L25" s="7">
        <f t="shared" si="3"/>
        <v>0</v>
      </c>
      <c r="M25" s="6"/>
      <c r="N25" s="7">
        <f>IF(M25=0,,($M$9-M25)*$M$7*100/$M$9)</f>
        <v>0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11"/>
        <v>0</v>
      </c>
      <c r="U25" s="6"/>
      <c r="V25" s="7">
        <f t="shared" si="7"/>
        <v>0</v>
      </c>
      <c r="W25" s="8">
        <f t="shared" si="14"/>
        <v>47.269230769230774</v>
      </c>
      <c r="X25" s="6">
        <f t="shared" si="8"/>
        <v>2</v>
      </c>
      <c r="Y25" s="6">
        <f t="shared" si="9"/>
        <v>15</v>
      </c>
      <c r="Z25" s="13">
        <f t="shared" si="10"/>
        <v>0.22222222222222221</v>
      </c>
    </row>
    <row r="26" spans="1:26" x14ac:dyDescent="0.3">
      <c r="A26" s="5">
        <f t="shared" si="0"/>
        <v>16</v>
      </c>
      <c r="B26" s="6" t="s">
        <v>539</v>
      </c>
      <c r="C26" s="6" t="s">
        <v>225</v>
      </c>
      <c r="D26" s="6" t="s">
        <v>49</v>
      </c>
      <c r="E26" s="6">
        <v>12</v>
      </c>
      <c r="F26" s="7">
        <f t="shared" si="13"/>
        <v>15.384615384615385</v>
      </c>
      <c r="G26" s="6">
        <v>113</v>
      </c>
      <c r="H26" s="7">
        <f t="shared" si="1"/>
        <v>8.695652173913043</v>
      </c>
      <c r="I26" s="6"/>
      <c r="J26" s="7">
        <f>IF(I26=0,,($I$9-I26)*$I$7*100/$I$9)</f>
        <v>0</v>
      </c>
      <c r="K26" s="6"/>
      <c r="L26" s="7">
        <f t="shared" si="3"/>
        <v>0</v>
      </c>
      <c r="M26" s="6"/>
      <c r="N26" s="7">
        <f>IF(M26=0,,($M$9-M26)*$M$7*100/$M$9)</f>
        <v>0</v>
      </c>
      <c r="O26" s="6">
        <v>9</v>
      </c>
      <c r="P26" s="7">
        <f>33/2</f>
        <v>16.5</v>
      </c>
      <c r="Q26" s="6"/>
      <c r="R26" s="7">
        <f t="shared" si="6"/>
        <v>0</v>
      </c>
      <c r="S26" s="6"/>
      <c r="T26" s="7">
        <f t="shared" si="11"/>
        <v>0</v>
      </c>
      <c r="U26" s="6"/>
      <c r="V26" s="7">
        <f t="shared" si="7"/>
        <v>0</v>
      </c>
      <c r="W26" s="8">
        <f t="shared" si="14"/>
        <v>40.580267558528426</v>
      </c>
      <c r="X26" s="6">
        <f t="shared" si="8"/>
        <v>3</v>
      </c>
      <c r="Y26" s="6">
        <f t="shared" si="9"/>
        <v>16</v>
      </c>
      <c r="Z26" s="13">
        <f t="shared" si="10"/>
        <v>0.33333333333333331</v>
      </c>
    </row>
    <row r="27" spans="1:26" x14ac:dyDescent="0.3">
      <c r="A27" s="5">
        <f t="shared" si="0"/>
        <v>17</v>
      </c>
      <c r="B27" s="6" t="s">
        <v>196</v>
      </c>
      <c r="C27" s="6" t="s">
        <v>197</v>
      </c>
      <c r="D27" s="6" t="s">
        <v>48</v>
      </c>
      <c r="E27" s="6">
        <v>12</v>
      </c>
      <c r="F27" s="7">
        <f t="shared" si="13"/>
        <v>15.384615384615385</v>
      </c>
      <c r="G27" s="6">
        <v>113</v>
      </c>
      <c r="H27" s="7">
        <f t="shared" si="1"/>
        <v>8.695652173913043</v>
      </c>
      <c r="I27" s="6"/>
      <c r="J27" s="7">
        <f>IF(I27=0,,($I$9-I27)*$I$7*100/$I$9)</f>
        <v>0</v>
      </c>
      <c r="K27" s="6"/>
      <c r="L27" s="7">
        <f t="shared" si="3"/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6"/>
        <v>0</v>
      </c>
      <c r="S27" s="6"/>
      <c r="T27" s="7">
        <f t="shared" si="11"/>
        <v>0</v>
      </c>
      <c r="U27" s="6"/>
      <c r="V27" s="7">
        <f t="shared" si="7"/>
        <v>0</v>
      </c>
      <c r="W27" s="8">
        <f t="shared" si="14"/>
        <v>24.080267558528426</v>
      </c>
      <c r="X27" s="6">
        <f t="shared" si="8"/>
        <v>2</v>
      </c>
      <c r="Y27" s="6">
        <f t="shared" si="9"/>
        <v>17</v>
      </c>
      <c r="Z27" s="13">
        <f t="shared" si="10"/>
        <v>0.22222222222222221</v>
      </c>
    </row>
    <row r="28" spans="1:26" x14ac:dyDescent="0.3">
      <c r="A28" s="27" t="s">
        <v>18</v>
      </c>
      <c r="B28" s="27"/>
      <c r="C28" s="28"/>
      <c r="E28">
        <f>COUNTA(E11:E27)</f>
        <v>15</v>
      </c>
      <c r="G28">
        <f>COUNTA(G11:G27)</f>
        <v>8</v>
      </c>
      <c r="I28">
        <f>COUNTA(I11:I27)</f>
        <v>8</v>
      </c>
      <c r="K28">
        <f>COUNTA(K11:K27)</f>
        <v>2</v>
      </c>
      <c r="M28">
        <f>COUNTA(M11:M27)</f>
        <v>2</v>
      </c>
      <c r="O28">
        <f>COUNTA(O11:O27)</f>
        <v>9</v>
      </c>
      <c r="Q28">
        <f>COUNTA(Q11:Q27)</f>
        <v>1</v>
      </c>
      <c r="S28">
        <f>COUNTA(S11:S27)</f>
        <v>2</v>
      </c>
      <c r="U28">
        <f>COUNTA(U11:U27)</f>
        <v>2</v>
      </c>
    </row>
    <row r="29" spans="1:26" x14ac:dyDescent="0.3">
      <c r="A29" s="30" t="s">
        <v>35</v>
      </c>
      <c r="B29" s="30"/>
      <c r="C29" s="30"/>
      <c r="E29" s="12">
        <f>E28/$G$2</f>
        <v>0.88235294117647056</v>
      </c>
      <c r="G29" s="12">
        <f>G28/$G$2</f>
        <v>0.47058823529411764</v>
      </c>
      <c r="I29" s="12">
        <f>I28/$G$2</f>
        <v>0.47058823529411764</v>
      </c>
      <c r="K29" s="12">
        <f>K28/$G$2</f>
        <v>0.11764705882352941</v>
      </c>
      <c r="M29" s="12">
        <f>M28/$G$2</f>
        <v>0.11764705882352941</v>
      </c>
      <c r="O29" s="12">
        <f>O28/$G$2</f>
        <v>0.52941176470588236</v>
      </c>
      <c r="Q29" s="12">
        <f>Q28/$G$2</f>
        <v>5.8823529411764705E-2</v>
      </c>
      <c r="S29" s="12">
        <f>S28/$G$2</f>
        <v>0.11764705882352941</v>
      </c>
      <c r="U29" s="12">
        <f>U28/$G$2</f>
        <v>0.11764705882352941</v>
      </c>
    </row>
    <row r="34" spans="20:20" x14ac:dyDescent="0.3">
      <c r="T34" t="s">
        <v>22</v>
      </c>
    </row>
    <row r="35" spans="20:20" x14ac:dyDescent="0.3">
      <c r="T35" t="s">
        <v>22</v>
      </c>
    </row>
    <row r="36" spans="20:20" x14ac:dyDescent="0.3">
      <c r="T36" t="s">
        <v>22</v>
      </c>
    </row>
    <row r="37" spans="20:20" x14ac:dyDescent="0.3">
      <c r="T37" t="s">
        <v>22</v>
      </c>
    </row>
    <row r="38" spans="20:20" x14ac:dyDescent="0.3">
      <c r="T38" t="s">
        <v>22</v>
      </c>
    </row>
    <row r="39" spans="20:20" x14ac:dyDescent="0.3">
      <c r="T39" t="s">
        <v>22</v>
      </c>
    </row>
    <row r="40" spans="20:20" x14ac:dyDescent="0.3">
      <c r="T40" t="s">
        <v>22</v>
      </c>
    </row>
    <row r="41" spans="20:20" x14ac:dyDescent="0.3">
      <c r="T41" t="s">
        <v>22</v>
      </c>
    </row>
    <row r="42" spans="20:20" x14ac:dyDescent="0.3">
      <c r="T42" t="s">
        <v>22</v>
      </c>
    </row>
    <row r="43" spans="20:20" x14ac:dyDescent="0.3">
      <c r="T43" t="s">
        <v>22</v>
      </c>
    </row>
    <row r="44" spans="20:20" x14ac:dyDescent="0.3">
      <c r="T44" t="s">
        <v>22</v>
      </c>
    </row>
    <row r="45" spans="20:20" x14ac:dyDescent="0.3">
      <c r="T45" t="s">
        <v>22</v>
      </c>
    </row>
    <row r="46" spans="20:20" x14ac:dyDescent="0.3">
      <c r="T46" t="s">
        <v>22</v>
      </c>
    </row>
    <row r="47" spans="20:20" x14ac:dyDescent="0.3">
      <c r="T47" t="s">
        <v>22</v>
      </c>
    </row>
    <row r="48" spans="20:20" x14ac:dyDescent="0.3">
      <c r="T48" t="s">
        <v>22</v>
      </c>
    </row>
    <row r="49" spans="20:20" x14ac:dyDescent="0.3">
      <c r="T49" t="s">
        <v>22</v>
      </c>
    </row>
    <row r="50" spans="20:20" x14ac:dyDescent="0.3">
      <c r="T50" t="s">
        <v>22</v>
      </c>
    </row>
    <row r="51" spans="20:20" x14ac:dyDescent="0.3">
      <c r="T51" t="s">
        <v>22</v>
      </c>
    </row>
    <row r="52" spans="20:20" x14ac:dyDescent="0.3">
      <c r="T52" t="s">
        <v>22</v>
      </c>
    </row>
    <row r="53" spans="20:20" x14ac:dyDescent="0.3">
      <c r="T53" t="s">
        <v>22</v>
      </c>
    </row>
    <row r="54" spans="20:20" x14ac:dyDescent="0.3">
      <c r="T54" t="s">
        <v>22</v>
      </c>
    </row>
    <row r="55" spans="20:20" x14ac:dyDescent="0.3">
      <c r="T55" t="s">
        <v>22</v>
      </c>
    </row>
    <row r="56" spans="20:20" x14ac:dyDescent="0.3">
      <c r="T56" t="s">
        <v>22</v>
      </c>
    </row>
    <row r="57" spans="20:20" x14ac:dyDescent="0.3">
      <c r="T57" t="s">
        <v>22</v>
      </c>
    </row>
    <row r="58" spans="20:20" x14ac:dyDescent="0.3">
      <c r="T58" t="s">
        <v>22</v>
      </c>
    </row>
    <row r="59" spans="20:20" x14ac:dyDescent="0.3">
      <c r="T59" t="s">
        <v>22</v>
      </c>
    </row>
    <row r="60" spans="20:20" x14ac:dyDescent="0.3">
      <c r="T60" t="s">
        <v>22</v>
      </c>
    </row>
    <row r="61" spans="20:20" x14ac:dyDescent="0.3">
      <c r="T61" t="s">
        <v>22</v>
      </c>
    </row>
    <row r="62" spans="20:20" x14ac:dyDescent="0.3">
      <c r="T62" t="s">
        <v>22</v>
      </c>
    </row>
    <row r="63" spans="20:20" x14ac:dyDescent="0.3">
      <c r="T63" t="s">
        <v>22</v>
      </c>
    </row>
    <row r="64" spans="20:20" x14ac:dyDescent="0.3">
      <c r="T64" t="s">
        <v>22</v>
      </c>
    </row>
    <row r="65" spans="20:20" x14ac:dyDescent="0.3">
      <c r="T65" t="s">
        <v>22</v>
      </c>
    </row>
    <row r="66" spans="20:20" x14ac:dyDescent="0.3">
      <c r="T66" t="s">
        <v>22</v>
      </c>
    </row>
    <row r="67" spans="20:20" x14ac:dyDescent="0.3">
      <c r="T67" t="s">
        <v>22</v>
      </c>
    </row>
    <row r="68" spans="20:20" x14ac:dyDescent="0.3">
      <c r="T68" t="s">
        <v>22</v>
      </c>
    </row>
    <row r="69" spans="20:20" x14ac:dyDescent="0.3">
      <c r="T69" t="s">
        <v>22</v>
      </c>
    </row>
    <row r="70" spans="20:20" x14ac:dyDescent="0.3">
      <c r="T70" t="s">
        <v>22</v>
      </c>
    </row>
    <row r="71" spans="20:20" x14ac:dyDescent="0.3">
      <c r="T71" t="s">
        <v>22</v>
      </c>
    </row>
    <row r="72" spans="20:20" x14ac:dyDescent="0.3">
      <c r="T72" t="s">
        <v>22</v>
      </c>
    </row>
    <row r="73" spans="20:20" x14ac:dyDescent="0.3">
      <c r="T73" t="s">
        <v>22</v>
      </c>
    </row>
    <row r="74" spans="20:20" x14ac:dyDescent="0.3">
      <c r="T74" t="s">
        <v>22</v>
      </c>
    </row>
    <row r="75" spans="20:20" x14ac:dyDescent="0.3">
      <c r="T75" t="s">
        <v>22</v>
      </c>
    </row>
    <row r="76" spans="20:20" x14ac:dyDescent="0.3">
      <c r="T76" t="s">
        <v>22</v>
      </c>
    </row>
    <row r="77" spans="20:20" x14ac:dyDescent="0.3">
      <c r="T77" t="s">
        <v>22</v>
      </c>
    </row>
    <row r="78" spans="20:20" x14ac:dyDescent="0.3">
      <c r="T78" t="s">
        <v>22</v>
      </c>
    </row>
    <row r="79" spans="20:20" x14ac:dyDescent="0.3">
      <c r="T79" t="s">
        <v>22</v>
      </c>
    </row>
    <row r="80" spans="20:20" x14ac:dyDescent="0.3">
      <c r="T80" t="s">
        <v>22</v>
      </c>
    </row>
    <row r="81" spans="20:20" x14ac:dyDescent="0.3">
      <c r="T81" t="s">
        <v>22</v>
      </c>
    </row>
    <row r="82" spans="20:20" x14ac:dyDescent="0.3">
      <c r="T82" t="s">
        <v>22</v>
      </c>
    </row>
    <row r="83" spans="20:20" x14ac:dyDescent="0.3">
      <c r="T83" t="s">
        <v>22</v>
      </c>
    </row>
    <row r="84" spans="20:20" x14ac:dyDescent="0.3">
      <c r="T84" t="s">
        <v>22</v>
      </c>
    </row>
    <row r="85" spans="20:20" x14ac:dyDescent="0.3">
      <c r="T85" t="s">
        <v>22</v>
      </c>
    </row>
    <row r="86" spans="20:20" x14ac:dyDescent="0.3">
      <c r="T86" t="s">
        <v>22</v>
      </c>
    </row>
    <row r="87" spans="20:20" x14ac:dyDescent="0.3">
      <c r="T87" t="s">
        <v>22</v>
      </c>
    </row>
    <row r="88" spans="20:20" x14ac:dyDescent="0.3">
      <c r="T88" t="s">
        <v>22</v>
      </c>
    </row>
    <row r="89" spans="20:20" x14ac:dyDescent="0.3">
      <c r="T89" t="s">
        <v>22</v>
      </c>
    </row>
    <row r="90" spans="20:20" x14ac:dyDescent="0.3">
      <c r="T90" t="s">
        <v>22</v>
      </c>
    </row>
    <row r="91" spans="20:20" x14ac:dyDescent="0.3">
      <c r="T91" t="s">
        <v>22</v>
      </c>
    </row>
    <row r="92" spans="20:20" x14ac:dyDescent="0.3">
      <c r="T92" t="s">
        <v>22</v>
      </c>
    </row>
    <row r="93" spans="20:20" x14ac:dyDescent="0.3">
      <c r="T93" t="s">
        <v>22</v>
      </c>
    </row>
    <row r="94" spans="20:20" x14ac:dyDescent="0.3">
      <c r="T94" t="s">
        <v>22</v>
      </c>
    </row>
    <row r="95" spans="20:20" x14ac:dyDescent="0.3">
      <c r="T95" t="s">
        <v>22</v>
      </c>
    </row>
    <row r="96" spans="20:20" x14ac:dyDescent="0.3">
      <c r="T96" t="s">
        <v>22</v>
      </c>
    </row>
    <row r="97" spans="20:20" x14ac:dyDescent="0.3">
      <c r="T97" t="s">
        <v>22</v>
      </c>
    </row>
    <row r="98" spans="20:20" x14ac:dyDescent="0.3">
      <c r="T98" t="s">
        <v>22</v>
      </c>
    </row>
    <row r="99" spans="20:20" x14ac:dyDescent="0.3">
      <c r="T99" t="s">
        <v>38</v>
      </c>
    </row>
    <row r="100" spans="20:20" x14ac:dyDescent="0.3">
      <c r="T100" t="s">
        <v>22</v>
      </c>
    </row>
    <row r="101" spans="20:20" x14ac:dyDescent="0.3">
      <c r="T101" t="s">
        <v>22</v>
      </c>
    </row>
    <row r="102" spans="20:20" x14ac:dyDescent="0.3">
      <c r="T102" t="s">
        <v>22</v>
      </c>
    </row>
    <row r="103" spans="20:20" x14ac:dyDescent="0.3">
      <c r="T103" t="s">
        <v>22</v>
      </c>
    </row>
    <row r="104" spans="20:20" x14ac:dyDescent="0.3">
      <c r="T104" t="s">
        <v>22</v>
      </c>
    </row>
    <row r="105" spans="20:20" x14ac:dyDescent="0.3">
      <c r="T105" t="s">
        <v>22</v>
      </c>
    </row>
    <row r="106" spans="20:20" x14ac:dyDescent="0.3">
      <c r="T106" t="s">
        <v>22</v>
      </c>
    </row>
    <row r="107" spans="20:20" x14ac:dyDescent="0.3">
      <c r="T107" t="s">
        <v>22</v>
      </c>
    </row>
    <row r="108" spans="20:20" x14ac:dyDescent="0.3">
      <c r="T108" t="s">
        <v>22</v>
      </c>
    </row>
    <row r="109" spans="20:20" x14ac:dyDescent="0.3">
      <c r="T109" t="s">
        <v>22</v>
      </c>
    </row>
    <row r="110" spans="20:20" x14ac:dyDescent="0.3">
      <c r="T110" t="s">
        <v>22</v>
      </c>
    </row>
    <row r="111" spans="20:20" x14ac:dyDescent="0.3">
      <c r="T111" t="s">
        <v>22</v>
      </c>
    </row>
    <row r="112" spans="20:20" x14ac:dyDescent="0.3">
      <c r="T112" t="s">
        <v>22</v>
      </c>
    </row>
    <row r="113" spans="20:20" x14ac:dyDescent="0.3">
      <c r="T113" t="s">
        <v>22</v>
      </c>
    </row>
    <row r="114" spans="20:20" x14ac:dyDescent="0.3">
      <c r="T114" t="s">
        <v>22</v>
      </c>
    </row>
    <row r="115" spans="20:20" x14ac:dyDescent="0.3">
      <c r="T115" t="s">
        <v>22</v>
      </c>
    </row>
    <row r="116" spans="20:20" x14ac:dyDescent="0.3">
      <c r="T116" t="s">
        <v>22</v>
      </c>
    </row>
    <row r="117" spans="20:20" x14ac:dyDescent="0.3">
      <c r="T117" t="s">
        <v>22</v>
      </c>
    </row>
    <row r="118" spans="20:20" x14ac:dyDescent="0.3">
      <c r="T118" t="s">
        <v>22</v>
      </c>
    </row>
    <row r="119" spans="20:20" x14ac:dyDescent="0.3">
      <c r="T119" t="s">
        <v>22</v>
      </c>
    </row>
    <row r="120" spans="20:20" x14ac:dyDescent="0.3">
      <c r="T120" t="s">
        <v>22</v>
      </c>
    </row>
    <row r="121" spans="20:20" x14ac:dyDescent="0.3">
      <c r="T121" t="s">
        <v>22</v>
      </c>
    </row>
    <row r="122" spans="20:20" x14ac:dyDescent="0.3">
      <c r="T122" t="s">
        <v>22</v>
      </c>
    </row>
    <row r="123" spans="20:20" x14ac:dyDescent="0.3">
      <c r="T123" t="s">
        <v>22</v>
      </c>
    </row>
    <row r="124" spans="20:20" x14ac:dyDescent="0.3">
      <c r="T124" t="s">
        <v>22</v>
      </c>
    </row>
    <row r="125" spans="20:20" x14ac:dyDescent="0.3">
      <c r="T125" t="s">
        <v>22</v>
      </c>
    </row>
    <row r="126" spans="20:20" x14ac:dyDescent="0.3">
      <c r="T126" t="s">
        <v>22</v>
      </c>
    </row>
    <row r="127" spans="20:20" x14ac:dyDescent="0.3">
      <c r="T127" t="s">
        <v>22</v>
      </c>
    </row>
    <row r="128" spans="20:20" x14ac:dyDescent="0.3">
      <c r="T128" t="s">
        <v>22</v>
      </c>
    </row>
    <row r="129" spans="20:20" x14ac:dyDescent="0.3">
      <c r="T129" t="s">
        <v>22</v>
      </c>
    </row>
    <row r="130" spans="20:20" x14ac:dyDescent="0.3">
      <c r="T130" t="s">
        <v>22</v>
      </c>
    </row>
    <row r="131" spans="20:20" x14ac:dyDescent="0.3">
      <c r="T131" t="s">
        <v>22</v>
      </c>
    </row>
    <row r="132" spans="20:20" x14ac:dyDescent="0.3">
      <c r="T132" t="s">
        <v>22</v>
      </c>
    </row>
    <row r="133" spans="20:20" x14ac:dyDescent="0.3">
      <c r="T133" t="s">
        <v>22</v>
      </c>
    </row>
    <row r="134" spans="20:20" x14ac:dyDescent="0.3">
      <c r="T134" t="s">
        <v>22</v>
      </c>
    </row>
  </sheetData>
  <sortState xmlns:xlrd2="http://schemas.microsoft.com/office/spreadsheetml/2017/richdata2" ref="A11:Z27">
    <sortCondition descending="1" ref="W11:W27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="73" zoomScaleNormal="73" workbookViewId="0">
      <pane xSplit="3" ySplit="10" topLeftCell="E11" activePane="bottomRight" state="frozenSplit"/>
      <selection activeCell="D1" sqref="D1"/>
      <selection pane="topRight" activeCell="D1" sqref="D1"/>
      <selection pane="bottomLeft" activeCell="A10" sqref="A10"/>
      <selection pane="bottomRight" activeCell="W12" sqref="W12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44140625" customWidth="1"/>
  </cols>
  <sheetData>
    <row r="1" spans="1:26" ht="31.2" x14ac:dyDescent="0.6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26" x14ac:dyDescent="0.3">
      <c r="E2" s="31" t="s">
        <v>31</v>
      </c>
      <c r="F2" s="31"/>
      <c r="G2" s="11">
        <f>COUNTA(B11:B30)</f>
        <v>11</v>
      </c>
    </row>
    <row r="3" spans="1:26" x14ac:dyDescent="0.3">
      <c r="B3" s="2"/>
      <c r="E3" s="31" t="s">
        <v>33</v>
      </c>
      <c r="F3" s="31"/>
      <c r="G3" s="11">
        <f>COUNTA(E8:V8)</f>
        <v>9</v>
      </c>
    </row>
    <row r="4" spans="1:26" x14ac:dyDescent="0.3">
      <c r="B4" s="2"/>
      <c r="C4" s="3"/>
    </row>
    <row r="6" spans="1:26" x14ac:dyDescent="0.3">
      <c r="D6" s="1" t="s">
        <v>0</v>
      </c>
      <c r="E6" s="26" t="s">
        <v>236</v>
      </c>
      <c r="F6" s="26"/>
      <c r="G6" s="26" t="s">
        <v>233</v>
      </c>
      <c r="H6" s="26"/>
      <c r="I6" s="26" t="s">
        <v>231</v>
      </c>
      <c r="J6" s="26"/>
      <c r="K6" s="26" t="s">
        <v>232</v>
      </c>
      <c r="L6" s="26"/>
      <c r="M6" s="26" t="s">
        <v>230</v>
      </c>
      <c r="N6" s="26"/>
      <c r="O6" s="26" t="s">
        <v>536</v>
      </c>
      <c r="P6" s="26"/>
      <c r="Q6" s="26" t="s">
        <v>234</v>
      </c>
      <c r="R6" s="26"/>
      <c r="S6" s="26" t="s">
        <v>45</v>
      </c>
      <c r="T6" s="26"/>
      <c r="U6" s="26" t="s">
        <v>235</v>
      </c>
      <c r="V6" s="26"/>
    </row>
    <row r="7" spans="1:26" x14ac:dyDescent="0.3">
      <c r="D7" s="1" t="s">
        <v>10</v>
      </c>
      <c r="E7" s="23">
        <v>2</v>
      </c>
      <c r="F7" s="24"/>
      <c r="G7" s="23">
        <v>5</v>
      </c>
      <c r="H7" s="24"/>
      <c r="I7" s="23">
        <v>3</v>
      </c>
      <c r="J7" s="24"/>
      <c r="K7" s="23">
        <v>5</v>
      </c>
      <c r="L7" s="24"/>
      <c r="M7" s="23">
        <v>2</v>
      </c>
      <c r="N7" s="24"/>
      <c r="O7" s="23">
        <v>3</v>
      </c>
      <c r="P7" s="24"/>
      <c r="Q7" s="23">
        <v>5</v>
      </c>
      <c r="R7" s="24"/>
      <c r="S7" s="23">
        <v>2</v>
      </c>
      <c r="T7" s="24"/>
      <c r="U7" s="23">
        <v>6</v>
      </c>
      <c r="V7" s="24"/>
    </row>
    <row r="8" spans="1:26" x14ac:dyDescent="0.3">
      <c r="D8" s="1" t="s">
        <v>1</v>
      </c>
      <c r="E8" s="29">
        <v>45585</v>
      </c>
      <c r="F8" s="29"/>
      <c r="G8" s="29">
        <v>45585</v>
      </c>
      <c r="H8" s="29"/>
      <c r="I8" s="29">
        <v>45607</v>
      </c>
      <c r="J8" s="29"/>
      <c r="K8" s="29">
        <v>45613</v>
      </c>
      <c r="L8" s="29"/>
      <c r="M8" s="29">
        <v>45682</v>
      </c>
      <c r="N8" s="29"/>
      <c r="O8" s="29">
        <v>45725</v>
      </c>
      <c r="P8" s="29"/>
      <c r="Q8" s="29">
        <v>45746</v>
      </c>
      <c r="R8" s="29"/>
      <c r="S8" s="29">
        <v>45774</v>
      </c>
      <c r="T8" s="29"/>
      <c r="U8" s="29">
        <v>45795</v>
      </c>
      <c r="V8" s="29"/>
      <c r="X8" s="11"/>
    </row>
    <row r="9" spans="1:26" x14ac:dyDescent="0.3">
      <c r="D9" s="1" t="s">
        <v>2</v>
      </c>
      <c r="E9" s="26">
        <v>6</v>
      </c>
      <c r="F9" s="26"/>
      <c r="G9" s="26">
        <v>84</v>
      </c>
      <c r="H9" s="26"/>
      <c r="I9" s="26">
        <v>4</v>
      </c>
      <c r="J9" s="26"/>
      <c r="K9" s="26">
        <v>73</v>
      </c>
      <c r="L9" s="26"/>
      <c r="M9" s="26">
        <v>3</v>
      </c>
      <c r="N9" s="26"/>
      <c r="O9" s="26">
        <v>5</v>
      </c>
      <c r="P9" s="26"/>
      <c r="Q9" s="26">
        <v>59</v>
      </c>
      <c r="R9" s="26"/>
      <c r="S9" s="26"/>
      <c r="T9" s="26"/>
      <c r="U9" s="26">
        <f>34+23</f>
        <v>57</v>
      </c>
      <c r="V9" s="26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34</v>
      </c>
      <c r="Y10" s="1" t="s">
        <v>9</v>
      </c>
      <c r="Z10" s="1" t="s">
        <v>36</v>
      </c>
    </row>
    <row r="11" spans="1:26" x14ac:dyDescent="0.3">
      <c r="A11" s="5">
        <f t="shared" ref="A11:A21" si="0">Y11</f>
        <v>1</v>
      </c>
      <c r="B11" s="6" t="s">
        <v>238</v>
      </c>
      <c r="C11" s="6" t="s">
        <v>226</v>
      </c>
      <c r="D11" s="6" t="s">
        <v>48</v>
      </c>
      <c r="E11" s="6">
        <v>1</v>
      </c>
      <c r="F11" s="17">
        <f t="shared" ref="F11:F20" si="1">IF(E11=0,,($E$9-E11)*$E$7*100/$E$9)</f>
        <v>166.66666666666666</v>
      </c>
      <c r="G11" s="6">
        <v>46</v>
      </c>
      <c r="H11" s="17">
        <f t="shared" ref="H11:H21" si="2">IF(G11=0,,($G$9-G11)*$G$7*100/$G$9)</f>
        <v>226.1904761904762</v>
      </c>
      <c r="I11" s="6">
        <v>1</v>
      </c>
      <c r="J11" s="17">
        <f>IF(I11=0,,($I$9-I11)*$I$7*100/$I$9)</f>
        <v>225</v>
      </c>
      <c r="K11" s="6">
        <v>49</v>
      </c>
      <c r="L11" s="7">
        <f t="shared" ref="L11:L21" si="3">IF(K11=0,,($K$9-K11)*$K$7*100/$K$9)</f>
        <v>164.38356164383561</v>
      </c>
      <c r="M11" s="6">
        <v>1</v>
      </c>
      <c r="N11" s="7">
        <f t="shared" ref="N11:N19" si="4">IF(M11=0,,($M$9-M11)*$M$7*100/$M$9)</f>
        <v>133.33333333333334</v>
      </c>
      <c r="O11" s="6">
        <v>2</v>
      </c>
      <c r="P11" s="17">
        <f>IF(O11=0,,($O$9-O11)*$O$7*100/$O$9)</f>
        <v>180</v>
      </c>
      <c r="Q11" s="6">
        <v>40</v>
      </c>
      <c r="R11" s="7">
        <f>IF(Q11=0,,($Q$9-Q11)*$Q$7*100/$Q$9)</f>
        <v>161.01694915254237</v>
      </c>
      <c r="S11" s="6"/>
      <c r="T11" s="7">
        <f t="shared" ref="T11:T21" si="5">IF(S11=0,,($M$9-S11)*$M$7*100/$M$9)</f>
        <v>0</v>
      </c>
      <c r="U11" s="6">
        <f>34+9</f>
        <v>43</v>
      </c>
      <c r="V11" s="7">
        <f t="shared" ref="V11:V21" si="6">IF(U11=0,,($U$9-U11)*$U$7*100/$U$9)</f>
        <v>147.36842105263159</v>
      </c>
      <c r="W11" s="8">
        <f>P11+J11+H11+F11</f>
        <v>797.85714285714278</v>
      </c>
      <c r="X11" s="6">
        <f t="shared" ref="X11:X21" si="7">COUNTA(G11,U11,K11,O11,Q11,E11,M11,I11)</f>
        <v>8</v>
      </c>
      <c r="Y11" s="6">
        <f t="shared" ref="Y11:Y21" si="8">ROW(B11)-10</f>
        <v>1</v>
      </c>
      <c r="Z11" s="13">
        <f t="shared" ref="Z11:Z21" si="9">X11/$G$3</f>
        <v>0.88888888888888884</v>
      </c>
    </row>
    <row r="12" spans="1:26" x14ac:dyDescent="0.3">
      <c r="A12" s="5">
        <f t="shared" si="0"/>
        <v>2</v>
      </c>
      <c r="B12" s="6" t="s">
        <v>110</v>
      </c>
      <c r="C12" s="6" t="s">
        <v>111</v>
      </c>
      <c r="D12" s="6" t="s">
        <v>65</v>
      </c>
      <c r="E12" s="6">
        <v>3</v>
      </c>
      <c r="F12" s="7">
        <f t="shared" si="1"/>
        <v>100</v>
      </c>
      <c r="G12" s="6">
        <v>41</v>
      </c>
      <c r="H12" s="17">
        <f t="shared" si="2"/>
        <v>255.95238095238096</v>
      </c>
      <c r="I12" s="6"/>
      <c r="J12" s="7">
        <f t="shared" ref="J12:J21" si="10">IF(I12=0,,($I$9-I12)*$I$7*100/$I$9)</f>
        <v>0</v>
      </c>
      <c r="K12" s="6">
        <v>43</v>
      </c>
      <c r="L12" s="17">
        <f t="shared" si="3"/>
        <v>205.47945205479451</v>
      </c>
      <c r="M12" s="6"/>
      <c r="N12" s="7">
        <f t="shared" si="4"/>
        <v>0</v>
      </c>
      <c r="O12" s="6">
        <v>3</v>
      </c>
      <c r="P12" s="17">
        <f>IF(O12=0,,($O$9-O12)*$O$7*100/$O$9)</f>
        <v>120</v>
      </c>
      <c r="Q12" s="6"/>
      <c r="R12" s="7">
        <f t="shared" ref="R12:R21" si="11">IF(Q12=0,,($Q$9-Q12)*$Q$7*100/$Q$9)</f>
        <v>0</v>
      </c>
      <c r="S12" s="6"/>
      <c r="T12" s="7">
        <f t="shared" si="5"/>
        <v>0</v>
      </c>
      <c r="U12" s="6">
        <f>34+7</f>
        <v>41</v>
      </c>
      <c r="V12" s="17">
        <f t="shared" si="6"/>
        <v>168.42105263157896</v>
      </c>
      <c r="W12" s="8">
        <f>V12+P12+L12+H12</f>
        <v>749.8528856387544</v>
      </c>
      <c r="X12" s="6">
        <f t="shared" si="7"/>
        <v>5</v>
      </c>
      <c r="Y12" s="6">
        <f t="shared" si="8"/>
        <v>2</v>
      </c>
      <c r="Z12" s="13">
        <f t="shared" si="9"/>
        <v>0.55555555555555558</v>
      </c>
    </row>
    <row r="13" spans="1:26" x14ac:dyDescent="0.3">
      <c r="A13" s="5">
        <f t="shared" si="0"/>
        <v>3</v>
      </c>
      <c r="B13" s="6" t="s">
        <v>223</v>
      </c>
      <c r="C13" s="6" t="s">
        <v>239</v>
      </c>
      <c r="D13" s="6" t="s">
        <v>65</v>
      </c>
      <c r="E13" s="6">
        <v>2</v>
      </c>
      <c r="F13" s="7">
        <f t="shared" si="1"/>
        <v>133.33333333333334</v>
      </c>
      <c r="G13" s="6">
        <v>63</v>
      </c>
      <c r="H13" s="7">
        <f t="shared" si="2"/>
        <v>125</v>
      </c>
      <c r="I13" s="6">
        <v>2</v>
      </c>
      <c r="J13" s="7">
        <f>IF(I13=0,,($I$9-I13)*$I$7*100/$I$9)</f>
        <v>150</v>
      </c>
      <c r="K13" s="6"/>
      <c r="L13" s="7">
        <f t="shared" si="3"/>
        <v>0</v>
      </c>
      <c r="M13" s="6"/>
      <c r="N13" s="7">
        <f t="shared" si="4"/>
        <v>0</v>
      </c>
      <c r="O13" s="6">
        <v>3</v>
      </c>
      <c r="P13" s="7">
        <f>IF(O13=0,,($O$9-O13)*$O$7*100/$O$9)</f>
        <v>120</v>
      </c>
      <c r="Q13" s="6"/>
      <c r="R13" s="7">
        <f t="shared" si="11"/>
        <v>0</v>
      </c>
      <c r="S13" s="6"/>
      <c r="T13" s="7">
        <f t="shared" si="5"/>
        <v>0</v>
      </c>
      <c r="U13" s="6"/>
      <c r="V13" s="7">
        <f t="shared" si="6"/>
        <v>0</v>
      </c>
      <c r="W13" s="8">
        <f t="shared" ref="W13:W21" si="12">H13+L13+R13+V13+F13+P13+N13+J13</f>
        <v>528.33333333333337</v>
      </c>
      <c r="X13" s="6">
        <f t="shared" si="7"/>
        <v>4</v>
      </c>
      <c r="Y13" s="6">
        <f t="shared" si="8"/>
        <v>3</v>
      </c>
      <c r="Z13" s="13">
        <f t="shared" si="9"/>
        <v>0.44444444444444442</v>
      </c>
    </row>
    <row r="14" spans="1:26" x14ac:dyDescent="0.3">
      <c r="A14" s="5">
        <f t="shared" si="0"/>
        <v>4</v>
      </c>
      <c r="B14" s="6" t="s">
        <v>326</v>
      </c>
      <c r="C14" s="6" t="s">
        <v>327</v>
      </c>
      <c r="D14" s="6" t="s">
        <v>65</v>
      </c>
      <c r="E14" s="6"/>
      <c r="F14" s="7">
        <f t="shared" si="1"/>
        <v>0</v>
      </c>
      <c r="G14" s="6">
        <v>52</v>
      </c>
      <c r="H14" s="7">
        <f t="shared" si="2"/>
        <v>190.47619047619048</v>
      </c>
      <c r="I14" s="6"/>
      <c r="J14" s="7">
        <f t="shared" si="10"/>
        <v>0</v>
      </c>
      <c r="K14" s="6"/>
      <c r="L14" s="7">
        <f t="shared" si="3"/>
        <v>0</v>
      </c>
      <c r="M14" s="6"/>
      <c r="N14" s="7">
        <f t="shared" si="4"/>
        <v>0</v>
      </c>
      <c r="O14" s="6">
        <v>1</v>
      </c>
      <c r="P14" s="7">
        <f>IF(O14=0,,($O$9-O14)*$O$7*100/$O$9)</f>
        <v>240</v>
      </c>
      <c r="Q14" s="6"/>
      <c r="R14" s="7">
        <f t="shared" si="11"/>
        <v>0</v>
      </c>
      <c r="S14" s="6"/>
      <c r="T14" s="7">
        <f t="shared" si="5"/>
        <v>0</v>
      </c>
      <c r="U14" s="6"/>
      <c r="V14" s="7">
        <f t="shared" si="6"/>
        <v>0</v>
      </c>
      <c r="W14" s="8">
        <f t="shared" si="12"/>
        <v>430.47619047619048</v>
      </c>
      <c r="X14" s="6">
        <f t="shared" si="7"/>
        <v>2</v>
      </c>
      <c r="Y14" s="6">
        <f t="shared" si="8"/>
        <v>4</v>
      </c>
      <c r="Z14" s="13">
        <f t="shared" si="9"/>
        <v>0.22222222222222221</v>
      </c>
    </row>
    <row r="15" spans="1:26" x14ac:dyDescent="0.3">
      <c r="A15" s="5">
        <f t="shared" si="0"/>
        <v>5</v>
      </c>
      <c r="B15" s="6" t="s">
        <v>240</v>
      </c>
      <c r="C15" s="6" t="s">
        <v>103</v>
      </c>
      <c r="D15" s="6" t="s">
        <v>72</v>
      </c>
      <c r="E15" s="6">
        <v>5</v>
      </c>
      <c r="F15" s="7">
        <f t="shared" si="1"/>
        <v>33.333333333333336</v>
      </c>
      <c r="G15" s="6"/>
      <c r="H15" s="7">
        <f t="shared" si="2"/>
        <v>0</v>
      </c>
      <c r="I15" s="6">
        <v>3</v>
      </c>
      <c r="J15" s="7">
        <f t="shared" si="10"/>
        <v>75</v>
      </c>
      <c r="K15" s="6"/>
      <c r="L15" s="7">
        <f t="shared" si="3"/>
        <v>0</v>
      </c>
      <c r="M15" s="6"/>
      <c r="N15" s="7">
        <f t="shared" si="4"/>
        <v>0</v>
      </c>
      <c r="O15" s="6">
        <v>5</v>
      </c>
      <c r="P15" s="7">
        <f>30/2</f>
        <v>15</v>
      </c>
      <c r="Q15" s="6"/>
      <c r="R15" s="7">
        <f t="shared" si="11"/>
        <v>0</v>
      </c>
      <c r="S15" s="6"/>
      <c r="T15" s="7">
        <f t="shared" si="5"/>
        <v>0</v>
      </c>
      <c r="U15" s="6"/>
      <c r="V15" s="7">
        <f t="shared" si="6"/>
        <v>0</v>
      </c>
      <c r="W15" s="8">
        <f t="shared" si="12"/>
        <v>123.33333333333334</v>
      </c>
      <c r="X15" s="6">
        <f t="shared" si="7"/>
        <v>3</v>
      </c>
      <c r="Y15" s="6">
        <f t="shared" si="8"/>
        <v>5</v>
      </c>
      <c r="Z15" s="13">
        <f t="shared" si="9"/>
        <v>0.33333333333333331</v>
      </c>
    </row>
    <row r="16" spans="1:26" x14ac:dyDescent="0.3">
      <c r="A16" s="5">
        <f t="shared" si="0"/>
        <v>6</v>
      </c>
      <c r="B16" s="6" t="s">
        <v>104</v>
      </c>
      <c r="C16" s="6" t="s">
        <v>105</v>
      </c>
      <c r="D16" s="6" t="s">
        <v>49</v>
      </c>
      <c r="E16" s="6">
        <v>3</v>
      </c>
      <c r="F16" s="7">
        <f t="shared" si="1"/>
        <v>100</v>
      </c>
      <c r="G16" s="6"/>
      <c r="H16" s="7">
        <f t="shared" si="2"/>
        <v>0</v>
      </c>
      <c r="I16" s="6"/>
      <c r="J16" s="7">
        <f t="shared" si="10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f t="shared" ref="P16:P21" si="13">IF(O16=0,,($O$9-O16)*$O$7*100/$O$9)</f>
        <v>0</v>
      </c>
      <c r="Q16" s="6"/>
      <c r="R16" s="7">
        <f t="shared" si="11"/>
        <v>0</v>
      </c>
      <c r="S16" s="6"/>
      <c r="T16" s="7">
        <f t="shared" si="5"/>
        <v>0</v>
      </c>
      <c r="U16" s="6"/>
      <c r="V16" s="7">
        <f t="shared" si="6"/>
        <v>0</v>
      </c>
      <c r="W16" s="8">
        <f t="shared" si="12"/>
        <v>100</v>
      </c>
      <c r="X16" s="6">
        <f t="shared" si="7"/>
        <v>1</v>
      </c>
      <c r="Y16" s="6">
        <f t="shared" si="8"/>
        <v>6</v>
      </c>
      <c r="Z16" s="13">
        <f t="shared" si="9"/>
        <v>0.1111111111111111</v>
      </c>
    </row>
    <row r="17" spans="1:26" x14ac:dyDescent="0.3">
      <c r="A17" s="5">
        <f t="shared" si="0"/>
        <v>7</v>
      </c>
      <c r="B17" s="6" t="s">
        <v>421</v>
      </c>
      <c r="C17" s="6" t="s">
        <v>103</v>
      </c>
      <c r="D17" s="6" t="s">
        <v>420</v>
      </c>
      <c r="E17" s="6"/>
      <c r="F17" s="7">
        <f t="shared" si="1"/>
        <v>0</v>
      </c>
      <c r="G17" s="6"/>
      <c r="H17" s="7">
        <f t="shared" si="2"/>
        <v>0</v>
      </c>
      <c r="I17" s="6">
        <v>3</v>
      </c>
      <c r="J17" s="7">
        <f t="shared" si="10"/>
        <v>75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13"/>
        <v>0</v>
      </c>
      <c r="Q17" s="6"/>
      <c r="R17" s="7">
        <f t="shared" si="11"/>
        <v>0</v>
      </c>
      <c r="S17" s="6"/>
      <c r="T17" s="7">
        <f t="shared" si="5"/>
        <v>0</v>
      </c>
      <c r="U17" s="6"/>
      <c r="V17" s="7">
        <f t="shared" si="6"/>
        <v>0</v>
      </c>
      <c r="W17" s="8">
        <f t="shared" si="12"/>
        <v>75</v>
      </c>
      <c r="X17" s="6">
        <f t="shared" si="7"/>
        <v>1</v>
      </c>
      <c r="Y17" s="6">
        <f t="shared" si="8"/>
        <v>7</v>
      </c>
      <c r="Z17" s="13">
        <f t="shared" si="9"/>
        <v>0.1111111111111111</v>
      </c>
    </row>
    <row r="18" spans="1:26" x14ac:dyDescent="0.3">
      <c r="A18" s="5">
        <f t="shared" si="0"/>
        <v>8</v>
      </c>
      <c r="B18" s="6" t="s">
        <v>519</v>
      </c>
      <c r="C18" s="6" t="s">
        <v>520</v>
      </c>
      <c r="D18" s="6" t="s">
        <v>49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10"/>
        <v>0</v>
      </c>
      <c r="K18" s="6"/>
      <c r="L18" s="7">
        <f t="shared" si="3"/>
        <v>0</v>
      </c>
      <c r="M18" s="6">
        <v>2</v>
      </c>
      <c r="N18" s="7">
        <f t="shared" si="4"/>
        <v>66.666666666666671</v>
      </c>
      <c r="O18" s="6"/>
      <c r="P18" s="7">
        <f t="shared" si="13"/>
        <v>0</v>
      </c>
      <c r="Q18" s="6"/>
      <c r="R18" s="7">
        <f t="shared" si="11"/>
        <v>0</v>
      </c>
      <c r="S18" s="6"/>
      <c r="T18" s="7">
        <f t="shared" si="5"/>
        <v>0</v>
      </c>
      <c r="U18" s="6"/>
      <c r="V18" s="7">
        <f t="shared" si="6"/>
        <v>0</v>
      </c>
      <c r="W18" s="8">
        <f t="shared" si="12"/>
        <v>66.666666666666671</v>
      </c>
      <c r="X18" s="6">
        <f t="shared" si="7"/>
        <v>1</v>
      </c>
      <c r="Y18" s="6">
        <f t="shared" si="8"/>
        <v>8</v>
      </c>
      <c r="Z18" s="13">
        <f t="shared" si="9"/>
        <v>0.1111111111111111</v>
      </c>
    </row>
    <row r="19" spans="1:26" x14ac:dyDescent="0.3">
      <c r="A19" s="5">
        <f t="shared" si="0"/>
        <v>9</v>
      </c>
      <c r="B19" s="6" t="s">
        <v>325</v>
      </c>
      <c r="C19" s="6" t="s">
        <v>170</v>
      </c>
      <c r="D19" s="6" t="s">
        <v>65</v>
      </c>
      <c r="E19" s="6"/>
      <c r="F19" s="7">
        <f t="shared" si="1"/>
        <v>0</v>
      </c>
      <c r="G19" s="6">
        <v>77</v>
      </c>
      <c r="H19" s="7">
        <f t="shared" si="2"/>
        <v>41.666666666666664</v>
      </c>
      <c r="I19" s="6"/>
      <c r="J19" s="7">
        <f t="shared" si="10"/>
        <v>0</v>
      </c>
      <c r="K19" s="6"/>
      <c r="L19" s="7">
        <f t="shared" si="3"/>
        <v>0</v>
      </c>
      <c r="M19" s="6"/>
      <c r="N19" s="7">
        <f t="shared" si="4"/>
        <v>0</v>
      </c>
      <c r="O19" s="6"/>
      <c r="P19" s="7">
        <f t="shared" si="13"/>
        <v>0</v>
      </c>
      <c r="Q19" s="6"/>
      <c r="R19" s="7">
        <f t="shared" si="11"/>
        <v>0</v>
      </c>
      <c r="S19" s="6"/>
      <c r="T19" s="7">
        <f t="shared" si="5"/>
        <v>0</v>
      </c>
      <c r="U19" s="6"/>
      <c r="V19" s="7">
        <f t="shared" si="6"/>
        <v>0</v>
      </c>
      <c r="W19" s="8">
        <f t="shared" si="12"/>
        <v>41.666666666666664</v>
      </c>
      <c r="X19" s="6">
        <f t="shared" si="7"/>
        <v>1</v>
      </c>
      <c r="Y19" s="6">
        <f t="shared" si="8"/>
        <v>9</v>
      </c>
      <c r="Z19" s="13">
        <f t="shared" si="9"/>
        <v>0.1111111111111111</v>
      </c>
    </row>
    <row r="20" spans="1:26" x14ac:dyDescent="0.3">
      <c r="A20" s="5">
        <f t="shared" si="0"/>
        <v>10</v>
      </c>
      <c r="B20" s="6" t="s">
        <v>521</v>
      </c>
      <c r="C20" s="6" t="s">
        <v>105</v>
      </c>
      <c r="D20" s="6" t="s">
        <v>49</v>
      </c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0"/>
        <v>0</v>
      </c>
      <c r="K20" s="6"/>
      <c r="L20" s="7">
        <f t="shared" si="3"/>
        <v>0</v>
      </c>
      <c r="M20" s="6">
        <v>3</v>
      </c>
      <c r="N20" s="7">
        <f>67/2</f>
        <v>33.5</v>
      </c>
      <c r="O20" s="6"/>
      <c r="P20" s="7">
        <f t="shared" si="13"/>
        <v>0</v>
      </c>
      <c r="Q20" s="6"/>
      <c r="R20" s="7">
        <f t="shared" si="11"/>
        <v>0</v>
      </c>
      <c r="S20" s="6"/>
      <c r="T20" s="7">
        <f t="shared" si="5"/>
        <v>0</v>
      </c>
      <c r="U20" s="6"/>
      <c r="V20" s="7">
        <f t="shared" si="6"/>
        <v>0</v>
      </c>
      <c r="W20" s="8">
        <f t="shared" si="12"/>
        <v>33.5</v>
      </c>
      <c r="X20" s="6">
        <f t="shared" si="7"/>
        <v>1</v>
      </c>
      <c r="Y20" s="6">
        <f t="shared" si="8"/>
        <v>10</v>
      </c>
      <c r="Z20" s="13">
        <f t="shared" si="9"/>
        <v>0.1111111111111111</v>
      </c>
    </row>
    <row r="21" spans="1:26" x14ac:dyDescent="0.3">
      <c r="A21" s="5">
        <f t="shared" si="0"/>
        <v>11</v>
      </c>
      <c r="B21" s="6" t="s">
        <v>91</v>
      </c>
      <c r="C21" s="6" t="s">
        <v>92</v>
      </c>
      <c r="D21" s="6" t="s">
        <v>72</v>
      </c>
      <c r="E21" s="6">
        <v>6</v>
      </c>
      <c r="F21" s="7">
        <f>33/2</f>
        <v>16.5</v>
      </c>
      <c r="G21" s="6"/>
      <c r="H21" s="7">
        <f t="shared" si="2"/>
        <v>0</v>
      </c>
      <c r="I21" s="6"/>
      <c r="J21" s="7">
        <f t="shared" si="10"/>
        <v>0</v>
      </c>
      <c r="K21" s="6"/>
      <c r="L21" s="7">
        <f t="shared" si="3"/>
        <v>0</v>
      </c>
      <c r="M21" s="6"/>
      <c r="N21" s="7">
        <f>IF(M21=0,,($M$9-M21)*$M$7*100/$M$9)</f>
        <v>0</v>
      </c>
      <c r="O21" s="6"/>
      <c r="P21" s="7">
        <f t="shared" si="13"/>
        <v>0</v>
      </c>
      <c r="Q21" s="6"/>
      <c r="R21" s="7">
        <f t="shared" si="11"/>
        <v>0</v>
      </c>
      <c r="S21" s="6"/>
      <c r="T21" s="7">
        <f t="shared" si="5"/>
        <v>0</v>
      </c>
      <c r="U21" s="6"/>
      <c r="V21" s="7">
        <f t="shared" si="6"/>
        <v>0</v>
      </c>
      <c r="W21" s="8">
        <f t="shared" si="12"/>
        <v>16.5</v>
      </c>
      <c r="X21" s="6">
        <f t="shared" si="7"/>
        <v>1</v>
      </c>
      <c r="Y21" s="6">
        <f t="shared" si="8"/>
        <v>11</v>
      </c>
      <c r="Z21" s="13">
        <f t="shared" si="9"/>
        <v>0.1111111111111111</v>
      </c>
    </row>
    <row r="22" spans="1:26" x14ac:dyDescent="0.3">
      <c r="A22" s="5">
        <f t="shared" ref="A22:A24" si="14">Y22</f>
        <v>12</v>
      </c>
      <c r="B22" s="6"/>
      <c r="C22" s="6"/>
      <c r="D22" s="6"/>
      <c r="E22" s="6"/>
      <c r="F22" s="7">
        <f t="shared" ref="F22:F24" si="15">IF(E22=0,,($E$9-E22)*$E$7*100/$E$9)</f>
        <v>0</v>
      </c>
      <c r="G22" s="6"/>
      <c r="H22" s="7">
        <f t="shared" ref="H22:H24" si="16">IF(G22=0,,($G$9-G22)*$G$7*100/$G$9)</f>
        <v>0</v>
      </c>
      <c r="I22" s="6"/>
      <c r="J22" s="7">
        <f t="shared" ref="J22:J24" si="17">IF(I22=0,,($I$9-I22)*$I$7*100/$I$9)</f>
        <v>0</v>
      </c>
      <c r="K22" s="6"/>
      <c r="L22" s="7">
        <f t="shared" ref="L22:L24" si="18">IF(K22=0,,($K$9-K22)*$K$7*100/$K$9)</f>
        <v>0</v>
      </c>
      <c r="M22" s="6"/>
      <c r="N22" s="7">
        <f t="shared" ref="N22:N24" si="19">IF(M22=0,,($M$9-M22)*$M$7*100/$M$9)</f>
        <v>0</v>
      </c>
      <c r="O22" s="6"/>
      <c r="P22" s="7">
        <f t="shared" ref="P22:P24" si="20">IF(O22=0,,($O$9-O22)*$O$7*100/$O$9)</f>
        <v>0</v>
      </c>
      <c r="Q22" s="6"/>
      <c r="R22" s="7">
        <f t="shared" ref="R22:R24" si="21">IF(Q22=0,,($Q$9-Q22)*$Q$7*100/$Q$9)</f>
        <v>0</v>
      </c>
      <c r="S22" s="6"/>
      <c r="T22" s="7">
        <f t="shared" ref="T22:T24" si="22">IF(S22=0,,($M$9-S22)*$M$7*100/$M$9)</f>
        <v>0</v>
      </c>
      <c r="U22" s="6"/>
      <c r="V22" s="7">
        <f t="shared" ref="V22:V24" si="23">IF(U22=0,,($U$9-U22)*$U$7*100/$U$9)</f>
        <v>0</v>
      </c>
      <c r="W22" s="8">
        <f t="shared" ref="W22:W24" si="24">H22+L22+R22+V22+F22+P22+N22+J22</f>
        <v>0</v>
      </c>
      <c r="X22" s="6">
        <f t="shared" ref="X22:X24" si="25">COUNTA(G22,U22,K22,O22,Q22,E22,M22,I22)</f>
        <v>0</v>
      </c>
      <c r="Y22" s="6">
        <f t="shared" ref="Y22:Y24" si="26">ROW(B22)-10</f>
        <v>12</v>
      </c>
      <c r="Z22" s="13">
        <f t="shared" ref="Z22:Z24" si="27">X22/$G$3</f>
        <v>0</v>
      </c>
    </row>
    <row r="23" spans="1:26" x14ac:dyDescent="0.3">
      <c r="A23" s="5">
        <f t="shared" si="14"/>
        <v>13</v>
      </c>
      <c r="B23" s="6"/>
      <c r="C23" s="6"/>
      <c r="D23" s="6"/>
      <c r="E23" s="6"/>
      <c r="F23" s="7">
        <f t="shared" si="15"/>
        <v>0</v>
      </c>
      <c r="G23" s="6"/>
      <c r="H23" s="7">
        <f t="shared" si="16"/>
        <v>0</v>
      </c>
      <c r="I23" s="6"/>
      <c r="J23" s="7">
        <f t="shared" si="17"/>
        <v>0</v>
      </c>
      <c r="K23" s="6"/>
      <c r="L23" s="7">
        <f t="shared" si="18"/>
        <v>0</v>
      </c>
      <c r="M23" s="6"/>
      <c r="N23" s="7">
        <f t="shared" si="19"/>
        <v>0</v>
      </c>
      <c r="O23" s="6"/>
      <c r="P23" s="7">
        <f t="shared" si="20"/>
        <v>0</v>
      </c>
      <c r="Q23" s="6"/>
      <c r="R23" s="7">
        <f t="shared" si="21"/>
        <v>0</v>
      </c>
      <c r="S23" s="6"/>
      <c r="T23" s="7">
        <f t="shared" si="22"/>
        <v>0</v>
      </c>
      <c r="U23" s="6"/>
      <c r="V23" s="7">
        <f t="shared" si="23"/>
        <v>0</v>
      </c>
      <c r="W23" s="8">
        <f t="shared" si="24"/>
        <v>0</v>
      </c>
      <c r="X23" s="6">
        <f t="shared" si="25"/>
        <v>0</v>
      </c>
      <c r="Y23" s="6">
        <f t="shared" si="26"/>
        <v>13</v>
      </c>
      <c r="Z23" s="13">
        <f t="shared" si="27"/>
        <v>0</v>
      </c>
    </row>
    <row r="24" spans="1:26" x14ac:dyDescent="0.3">
      <c r="A24" s="5">
        <f t="shared" si="14"/>
        <v>14</v>
      </c>
      <c r="B24" s="6"/>
      <c r="C24" s="6"/>
      <c r="D24" s="6"/>
      <c r="E24" s="6"/>
      <c r="F24" s="7">
        <f t="shared" si="15"/>
        <v>0</v>
      </c>
      <c r="G24" s="6"/>
      <c r="H24" s="7">
        <f t="shared" si="16"/>
        <v>0</v>
      </c>
      <c r="I24" s="6"/>
      <c r="J24" s="7">
        <f t="shared" si="17"/>
        <v>0</v>
      </c>
      <c r="K24" s="6"/>
      <c r="L24" s="7">
        <f t="shared" si="18"/>
        <v>0</v>
      </c>
      <c r="M24" s="6"/>
      <c r="N24" s="7">
        <f t="shared" si="19"/>
        <v>0</v>
      </c>
      <c r="O24" s="6"/>
      <c r="P24" s="7">
        <f t="shared" si="20"/>
        <v>0</v>
      </c>
      <c r="Q24" s="6"/>
      <c r="R24" s="7">
        <f t="shared" si="21"/>
        <v>0</v>
      </c>
      <c r="S24" s="6"/>
      <c r="T24" s="7">
        <f t="shared" si="22"/>
        <v>0</v>
      </c>
      <c r="U24" s="6"/>
      <c r="V24" s="7">
        <f t="shared" si="23"/>
        <v>0</v>
      </c>
      <c r="W24" s="8">
        <f t="shared" si="24"/>
        <v>0</v>
      </c>
      <c r="X24" s="6">
        <f t="shared" si="25"/>
        <v>0</v>
      </c>
      <c r="Y24" s="6">
        <f t="shared" si="26"/>
        <v>14</v>
      </c>
      <c r="Z24" s="13">
        <f t="shared" si="27"/>
        <v>0</v>
      </c>
    </row>
    <row r="25" spans="1:26" x14ac:dyDescent="0.3">
      <c r="A25" s="27" t="s">
        <v>237</v>
      </c>
      <c r="B25" s="27"/>
      <c r="C25" s="28"/>
      <c r="E25">
        <f>COUNTA(E11:E24)</f>
        <v>6</v>
      </c>
      <c r="G25">
        <f>COUNTA(G11:G24)</f>
        <v>5</v>
      </c>
      <c r="I25">
        <f>COUNTA(I11:I24)</f>
        <v>4</v>
      </c>
      <c r="K25">
        <f>COUNTA(K11:K24)</f>
        <v>2</v>
      </c>
      <c r="M25">
        <f>COUNTA(M11:M24)</f>
        <v>3</v>
      </c>
      <c r="O25">
        <f>COUNTA(O11:O24)</f>
        <v>5</v>
      </c>
      <c r="Q25">
        <f>COUNTA(Q11:Q24)</f>
        <v>1</v>
      </c>
      <c r="S25">
        <f>COUNTA(S11:S24)</f>
        <v>0</v>
      </c>
      <c r="U25">
        <f>COUNTA(U11:U24)</f>
        <v>2</v>
      </c>
    </row>
    <row r="26" spans="1:26" x14ac:dyDescent="0.3">
      <c r="A26" s="30" t="s">
        <v>35</v>
      </c>
      <c r="B26" s="30"/>
      <c r="C26" s="30"/>
      <c r="E26" s="12">
        <f>E25/$G$2</f>
        <v>0.54545454545454541</v>
      </c>
      <c r="G26" s="12">
        <f>G25/$G$2</f>
        <v>0.45454545454545453</v>
      </c>
      <c r="I26" s="12">
        <f>I25/$G$2</f>
        <v>0.36363636363636365</v>
      </c>
      <c r="K26" s="12">
        <f>K25/$G$2</f>
        <v>0.18181818181818182</v>
      </c>
      <c r="M26" s="12">
        <f>M25/$G$2</f>
        <v>0.27272727272727271</v>
      </c>
      <c r="O26" s="12">
        <f>O25/$G$2</f>
        <v>0.45454545454545453</v>
      </c>
      <c r="Q26" s="12">
        <f>Q25/$G$2</f>
        <v>9.0909090909090912E-2</v>
      </c>
      <c r="S26" s="12">
        <f>S25/$G$2</f>
        <v>0</v>
      </c>
      <c r="U26" s="12">
        <f>U25/$G$2</f>
        <v>0.18181818181818182</v>
      </c>
    </row>
    <row r="31" spans="1:26" x14ac:dyDescent="0.3">
      <c r="T31" t="s">
        <v>22</v>
      </c>
    </row>
    <row r="32" spans="1:26" x14ac:dyDescent="0.3">
      <c r="T32" t="s">
        <v>22</v>
      </c>
    </row>
    <row r="33" spans="20:20" x14ac:dyDescent="0.3">
      <c r="T33" t="s">
        <v>22</v>
      </c>
    </row>
    <row r="34" spans="20:20" x14ac:dyDescent="0.3">
      <c r="T34" t="s">
        <v>22</v>
      </c>
    </row>
    <row r="35" spans="20:20" x14ac:dyDescent="0.3">
      <c r="T35" t="s">
        <v>22</v>
      </c>
    </row>
    <row r="36" spans="20:20" x14ac:dyDescent="0.3">
      <c r="T36" t="s">
        <v>22</v>
      </c>
    </row>
    <row r="37" spans="20:20" x14ac:dyDescent="0.3">
      <c r="T37" t="s">
        <v>22</v>
      </c>
    </row>
    <row r="38" spans="20:20" x14ac:dyDescent="0.3">
      <c r="T38" t="s">
        <v>22</v>
      </c>
    </row>
    <row r="39" spans="20:20" x14ac:dyDescent="0.3">
      <c r="T39" t="s">
        <v>22</v>
      </c>
    </row>
    <row r="40" spans="20:20" x14ac:dyDescent="0.3">
      <c r="T40" t="s">
        <v>22</v>
      </c>
    </row>
    <row r="41" spans="20:20" x14ac:dyDescent="0.3">
      <c r="T41" t="s">
        <v>22</v>
      </c>
    </row>
    <row r="42" spans="20:20" x14ac:dyDescent="0.3">
      <c r="T42" t="s">
        <v>22</v>
      </c>
    </row>
    <row r="43" spans="20:20" x14ac:dyDescent="0.3">
      <c r="T43" t="s">
        <v>22</v>
      </c>
    </row>
    <row r="44" spans="20:20" x14ac:dyDescent="0.3">
      <c r="T44" t="s">
        <v>22</v>
      </c>
    </row>
    <row r="45" spans="20:20" x14ac:dyDescent="0.3">
      <c r="T45" t="s">
        <v>22</v>
      </c>
    </row>
    <row r="46" spans="20:20" x14ac:dyDescent="0.3">
      <c r="T46" t="s">
        <v>22</v>
      </c>
    </row>
    <row r="47" spans="20:20" x14ac:dyDescent="0.3">
      <c r="T47" t="s">
        <v>22</v>
      </c>
    </row>
    <row r="48" spans="20:20" x14ac:dyDescent="0.3">
      <c r="T48" t="s">
        <v>22</v>
      </c>
    </row>
    <row r="49" spans="20:20" x14ac:dyDescent="0.3">
      <c r="T49" t="s">
        <v>22</v>
      </c>
    </row>
    <row r="50" spans="20:20" x14ac:dyDescent="0.3">
      <c r="T50" t="s">
        <v>22</v>
      </c>
    </row>
    <row r="51" spans="20:20" x14ac:dyDescent="0.3">
      <c r="T51" t="s">
        <v>22</v>
      </c>
    </row>
    <row r="52" spans="20:20" x14ac:dyDescent="0.3">
      <c r="T52" t="s">
        <v>22</v>
      </c>
    </row>
    <row r="53" spans="20:20" x14ac:dyDescent="0.3">
      <c r="T53" t="s">
        <v>22</v>
      </c>
    </row>
    <row r="54" spans="20:20" x14ac:dyDescent="0.3">
      <c r="T54" t="s">
        <v>22</v>
      </c>
    </row>
    <row r="55" spans="20:20" x14ac:dyDescent="0.3">
      <c r="T55" t="s">
        <v>22</v>
      </c>
    </row>
    <row r="56" spans="20:20" x14ac:dyDescent="0.3">
      <c r="T56" t="s">
        <v>22</v>
      </c>
    </row>
    <row r="57" spans="20:20" x14ac:dyDescent="0.3">
      <c r="T57" t="s">
        <v>22</v>
      </c>
    </row>
    <row r="58" spans="20:20" x14ac:dyDescent="0.3">
      <c r="T58" t="s">
        <v>22</v>
      </c>
    </row>
    <row r="59" spans="20:20" x14ac:dyDescent="0.3">
      <c r="T59" t="s">
        <v>22</v>
      </c>
    </row>
    <row r="60" spans="20:20" x14ac:dyDescent="0.3">
      <c r="T60" t="s">
        <v>22</v>
      </c>
    </row>
    <row r="61" spans="20:20" x14ac:dyDescent="0.3">
      <c r="T61" t="s">
        <v>22</v>
      </c>
    </row>
    <row r="62" spans="20:20" x14ac:dyDescent="0.3">
      <c r="T62" t="s">
        <v>22</v>
      </c>
    </row>
    <row r="63" spans="20:20" x14ac:dyDescent="0.3">
      <c r="T63" t="s">
        <v>22</v>
      </c>
    </row>
    <row r="64" spans="20:20" x14ac:dyDescent="0.3">
      <c r="T64" t="s">
        <v>22</v>
      </c>
    </row>
    <row r="65" spans="20:20" x14ac:dyDescent="0.3">
      <c r="T65" t="s">
        <v>22</v>
      </c>
    </row>
    <row r="66" spans="20:20" x14ac:dyDescent="0.3">
      <c r="T66" t="s">
        <v>22</v>
      </c>
    </row>
    <row r="67" spans="20:20" x14ac:dyDescent="0.3">
      <c r="T67" t="s">
        <v>22</v>
      </c>
    </row>
    <row r="68" spans="20:20" x14ac:dyDescent="0.3">
      <c r="T68" t="s">
        <v>22</v>
      </c>
    </row>
    <row r="69" spans="20:20" x14ac:dyDescent="0.3">
      <c r="T69" t="s">
        <v>22</v>
      </c>
    </row>
    <row r="70" spans="20:20" x14ac:dyDescent="0.3">
      <c r="T70" t="s">
        <v>22</v>
      </c>
    </row>
    <row r="71" spans="20:20" x14ac:dyDescent="0.3">
      <c r="T71" t="s">
        <v>22</v>
      </c>
    </row>
    <row r="72" spans="20:20" x14ac:dyDescent="0.3">
      <c r="T72" t="s">
        <v>22</v>
      </c>
    </row>
    <row r="73" spans="20:20" x14ac:dyDescent="0.3">
      <c r="T73" t="s">
        <v>22</v>
      </c>
    </row>
    <row r="74" spans="20:20" x14ac:dyDescent="0.3">
      <c r="T74" t="s">
        <v>22</v>
      </c>
    </row>
    <row r="75" spans="20:20" x14ac:dyDescent="0.3">
      <c r="T75" t="s">
        <v>22</v>
      </c>
    </row>
    <row r="76" spans="20:20" x14ac:dyDescent="0.3">
      <c r="T76" t="s">
        <v>22</v>
      </c>
    </row>
    <row r="77" spans="20:20" x14ac:dyDescent="0.3">
      <c r="T77" t="s">
        <v>22</v>
      </c>
    </row>
    <row r="78" spans="20:20" x14ac:dyDescent="0.3">
      <c r="T78" t="s">
        <v>22</v>
      </c>
    </row>
    <row r="79" spans="20:20" x14ac:dyDescent="0.3">
      <c r="T79" t="s">
        <v>22</v>
      </c>
    </row>
    <row r="80" spans="20:20" x14ac:dyDescent="0.3">
      <c r="T80" t="s">
        <v>22</v>
      </c>
    </row>
    <row r="81" spans="20:20" x14ac:dyDescent="0.3">
      <c r="T81" t="s">
        <v>22</v>
      </c>
    </row>
    <row r="82" spans="20:20" x14ac:dyDescent="0.3">
      <c r="T82" t="s">
        <v>22</v>
      </c>
    </row>
    <row r="83" spans="20:20" x14ac:dyDescent="0.3">
      <c r="T83" t="s">
        <v>22</v>
      </c>
    </row>
    <row r="84" spans="20:20" x14ac:dyDescent="0.3">
      <c r="T84" t="s">
        <v>22</v>
      </c>
    </row>
    <row r="85" spans="20:20" x14ac:dyDescent="0.3">
      <c r="T85" t="s">
        <v>22</v>
      </c>
    </row>
    <row r="86" spans="20:20" x14ac:dyDescent="0.3">
      <c r="T86" t="s">
        <v>22</v>
      </c>
    </row>
    <row r="87" spans="20:20" x14ac:dyDescent="0.3">
      <c r="T87" t="s">
        <v>22</v>
      </c>
    </row>
    <row r="88" spans="20:20" x14ac:dyDescent="0.3">
      <c r="T88" t="s">
        <v>22</v>
      </c>
    </row>
    <row r="89" spans="20:20" x14ac:dyDescent="0.3">
      <c r="T89" t="s">
        <v>22</v>
      </c>
    </row>
    <row r="90" spans="20:20" x14ac:dyDescent="0.3">
      <c r="T90" t="s">
        <v>22</v>
      </c>
    </row>
    <row r="91" spans="20:20" x14ac:dyDescent="0.3">
      <c r="T91" t="s">
        <v>22</v>
      </c>
    </row>
    <row r="92" spans="20:20" x14ac:dyDescent="0.3">
      <c r="T92" t="s">
        <v>22</v>
      </c>
    </row>
    <row r="93" spans="20:20" x14ac:dyDescent="0.3">
      <c r="T93" t="s">
        <v>22</v>
      </c>
    </row>
    <row r="94" spans="20:20" x14ac:dyDescent="0.3">
      <c r="T94" t="s">
        <v>22</v>
      </c>
    </row>
    <row r="95" spans="20:20" x14ac:dyDescent="0.3">
      <c r="T95" t="s">
        <v>22</v>
      </c>
    </row>
    <row r="96" spans="20:20" x14ac:dyDescent="0.3">
      <c r="T96" t="s">
        <v>38</v>
      </c>
    </row>
    <row r="97" spans="20:20" x14ac:dyDescent="0.3">
      <c r="T97" t="s">
        <v>22</v>
      </c>
    </row>
    <row r="98" spans="20:20" x14ac:dyDescent="0.3">
      <c r="T98" t="s">
        <v>22</v>
      </c>
    </row>
    <row r="99" spans="20:20" x14ac:dyDescent="0.3">
      <c r="T99" t="s">
        <v>22</v>
      </c>
    </row>
    <row r="100" spans="20:20" x14ac:dyDescent="0.3">
      <c r="T100" t="s">
        <v>22</v>
      </c>
    </row>
    <row r="101" spans="20:20" x14ac:dyDescent="0.3">
      <c r="T101" t="s">
        <v>22</v>
      </c>
    </row>
    <row r="102" spans="20:20" x14ac:dyDescent="0.3">
      <c r="T102" t="s">
        <v>22</v>
      </c>
    </row>
    <row r="103" spans="20:20" x14ac:dyDescent="0.3">
      <c r="T103" t="s">
        <v>22</v>
      </c>
    </row>
    <row r="104" spans="20:20" x14ac:dyDescent="0.3">
      <c r="T104" t="s">
        <v>22</v>
      </c>
    </row>
    <row r="105" spans="20:20" x14ac:dyDescent="0.3">
      <c r="T105" t="s">
        <v>22</v>
      </c>
    </row>
    <row r="106" spans="20:20" x14ac:dyDescent="0.3">
      <c r="T106" t="s">
        <v>22</v>
      </c>
    </row>
    <row r="107" spans="20:20" x14ac:dyDescent="0.3">
      <c r="T107" t="s">
        <v>22</v>
      </c>
    </row>
    <row r="108" spans="20:20" x14ac:dyDescent="0.3">
      <c r="T108" t="s">
        <v>22</v>
      </c>
    </row>
    <row r="109" spans="20:20" x14ac:dyDescent="0.3">
      <c r="T109" t="s">
        <v>22</v>
      </c>
    </row>
    <row r="110" spans="20:20" x14ac:dyDescent="0.3">
      <c r="T110" t="s">
        <v>22</v>
      </c>
    </row>
    <row r="111" spans="20:20" x14ac:dyDescent="0.3">
      <c r="T111" t="s">
        <v>22</v>
      </c>
    </row>
    <row r="112" spans="20:20" x14ac:dyDescent="0.3">
      <c r="T112" t="s">
        <v>22</v>
      </c>
    </row>
    <row r="113" spans="20:20" x14ac:dyDescent="0.3">
      <c r="T113" t="s">
        <v>22</v>
      </c>
    </row>
    <row r="114" spans="20:20" x14ac:dyDescent="0.3">
      <c r="T114" t="s">
        <v>22</v>
      </c>
    </row>
    <row r="115" spans="20:20" x14ac:dyDescent="0.3">
      <c r="T115" t="s">
        <v>22</v>
      </c>
    </row>
    <row r="116" spans="20:20" x14ac:dyDescent="0.3">
      <c r="T116" t="s">
        <v>22</v>
      </c>
    </row>
    <row r="117" spans="20:20" x14ac:dyDescent="0.3">
      <c r="T117" t="s">
        <v>22</v>
      </c>
    </row>
    <row r="118" spans="20:20" x14ac:dyDescent="0.3">
      <c r="T118" t="s">
        <v>22</v>
      </c>
    </row>
    <row r="119" spans="20:20" x14ac:dyDescent="0.3">
      <c r="T119" t="s">
        <v>22</v>
      </c>
    </row>
    <row r="120" spans="20:20" x14ac:dyDescent="0.3">
      <c r="T120" t="s">
        <v>22</v>
      </c>
    </row>
    <row r="121" spans="20:20" x14ac:dyDescent="0.3">
      <c r="T121" t="s">
        <v>22</v>
      </c>
    </row>
    <row r="122" spans="20:20" x14ac:dyDescent="0.3">
      <c r="T122" t="s">
        <v>22</v>
      </c>
    </row>
    <row r="123" spans="20:20" x14ac:dyDescent="0.3">
      <c r="T123" t="s">
        <v>22</v>
      </c>
    </row>
    <row r="124" spans="20:20" x14ac:dyDescent="0.3">
      <c r="T124" t="s">
        <v>22</v>
      </c>
    </row>
    <row r="125" spans="20:20" x14ac:dyDescent="0.3">
      <c r="T125" t="s">
        <v>22</v>
      </c>
    </row>
    <row r="126" spans="20:20" x14ac:dyDescent="0.3">
      <c r="T126" t="s">
        <v>22</v>
      </c>
    </row>
    <row r="127" spans="20:20" x14ac:dyDescent="0.3">
      <c r="T127" t="s">
        <v>22</v>
      </c>
    </row>
    <row r="128" spans="20:20" x14ac:dyDescent="0.3">
      <c r="T128" t="s">
        <v>22</v>
      </c>
    </row>
    <row r="129" spans="20:20" x14ac:dyDescent="0.3">
      <c r="T129" t="s">
        <v>22</v>
      </c>
    </row>
    <row r="130" spans="20:20" x14ac:dyDescent="0.3">
      <c r="T130" t="s">
        <v>22</v>
      </c>
    </row>
    <row r="131" spans="20:20" x14ac:dyDescent="0.3">
      <c r="T131" t="s">
        <v>22</v>
      </c>
    </row>
  </sheetData>
  <sortState xmlns:xlrd2="http://schemas.microsoft.com/office/spreadsheetml/2017/richdata2" ref="A11:Z22">
    <sortCondition descending="1" ref="W11:W22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73" zoomScaleNormal="73" workbookViewId="0">
      <pane xSplit="3" ySplit="10" topLeftCell="H11" activePane="bottomRight" state="frozenSplit"/>
      <selection activeCell="F16" sqref="F16"/>
      <selection pane="topRight" activeCell="F16" sqref="F16"/>
      <selection pane="bottomLeft" activeCell="F16" sqref="F16"/>
      <selection pane="bottomRight" activeCell="L18" sqref="L18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3" max="3" width="11.44140625" customWidth="1"/>
    <col min="4" max="4" width="21.6640625" customWidth="1"/>
    <col min="5" max="6" width="11.44140625" customWidth="1"/>
    <col min="7" max="7" width="9.6640625" customWidth="1"/>
    <col min="8" max="8" width="11.6640625" customWidth="1"/>
    <col min="9" max="9" width="8.109375" customWidth="1"/>
    <col min="10" max="10" width="9.44140625" customWidth="1"/>
    <col min="12" max="12" width="15.6640625" customWidth="1"/>
    <col min="14" max="14" width="6.88671875" customWidth="1"/>
    <col min="15" max="15" width="6.44140625" customWidth="1"/>
    <col min="16" max="16" width="9.44140625" customWidth="1"/>
    <col min="18" max="18" width="14.88671875" customWidth="1"/>
    <col min="19" max="19" width="9.4414062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44140625" customWidth="1"/>
    <col min="26" max="26" width="20.8867187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.2" x14ac:dyDescent="0.6">
      <c r="A1" s="25" t="s">
        <v>37</v>
      </c>
      <c r="B1" s="25"/>
      <c r="C1" s="25"/>
      <c r="D1" s="25"/>
      <c r="E1" s="25"/>
      <c r="F1" s="25"/>
      <c r="G1" s="25"/>
      <c r="H1" s="25"/>
    </row>
    <row r="2" spans="1:32" x14ac:dyDescent="0.3">
      <c r="E2" s="31" t="s">
        <v>32</v>
      </c>
      <c r="F2" s="31"/>
      <c r="G2" s="11">
        <f>COUNTA(B11:B45)</f>
        <v>35</v>
      </c>
    </row>
    <row r="3" spans="1:32" x14ac:dyDescent="0.3">
      <c r="E3" s="31" t="s">
        <v>33</v>
      </c>
      <c r="F3" s="31"/>
      <c r="G3" s="11">
        <f>COUNTA(E8:AB8)</f>
        <v>12</v>
      </c>
    </row>
    <row r="4" spans="1:32" x14ac:dyDescent="0.3">
      <c r="A4" s="9"/>
      <c r="B4" s="10" t="s">
        <v>23</v>
      </c>
      <c r="C4" s="3"/>
    </row>
    <row r="6" spans="1:32" x14ac:dyDescent="0.3">
      <c r="D6" s="1" t="s">
        <v>0</v>
      </c>
      <c r="E6" s="26" t="s">
        <v>247</v>
      </c>
      <c r="F6" s="26"/>
      <c r="G6" s="26" t="s">
        <v>233</v>
      </c>
      <c r="H6" s="26"/>
      <c r="I6" s="26" t="s">
        <v>26</v>
      </c>
      <c r="J6" s="26"/>
      <c r="K6" s="26" t="s">
        <v>540</v>
      </c>
      <c r="L6" s="26"/>
      <c r="M6" s="26" t="s">
        <v>39</v>
      </c>
      <c r="N6" s="26"/>
      <c r="O6" s="26" t="s">
        <v>463</v>
      </c>
      <c r="P6" s="26"/>
      <c r="Q6" s="26" t="s">
        <v>41</v>
      </c>
      <c r="R6" s="26"/>
      <c r="S6" s="26" t="s">
        <v>248</v>
      </c>
      <c r="T6" s="26"/>
      <c r="U6" s="26" t="s">
        <v>19</v>
      </c>
      <c r="V6" s="26"/>
      <c r="W6" s="26" t="s">
        <v>250</v>
      </c>
      <c r="X6" s="26"/>
      <c r="Y6" s="26" t="s">
        <v>249</v>
      </c>
      <c r="Z6" s="26"/>
      <c r="AA6" s="26" t="s">
        <v>251</v>
      </c>
      <c r="AB6" s="26"/>
    </row>
    <row r="7" spans="1:32" x14ac:dyDescent="0.3">
      <c r="D7" s="1" t="s">
        <v>10</v>
      </c>
      <c r="E7" s="23">
        <v>2</v>
      </c>
      <c r="F7" s="24"/>
      <c r="G7" s="23">
        <v>5</v>
      </c>
      <c r="H7" s="24"/>
      <c r="I7" s="23">
        <v>2</v>
      </c>
      <c r="J7" s="24"/>
      <c r="K7" s="23">
        <v>2</v>
      </c>
      <c r="L7" s="24"/>
      <c r="M7" s="23">
        <v>5</v>
      </c>
      <c r="N7" s="24"/>
      <c r="O7" s="23">
        <v>6</v>
      </c>
      <c r="P7" s="24"/>
      <c r="Q7" s="23">
        <v>2</v>
      </c>
      <c r="R7" s="24"/>
      <c r="S7" s="23">
        <v>5</v>
      </c>
      <c r="T7" s="24"/>
      <c r="U7" s="23">
        <v>3</v>
      </c>
      <c r="V7" s="24"/>
      <c r="W7" s="23">
        <v>5</v>
      </c>
      <c r="X7" s="24"/>
      <c r="Y7" s="23">
        <v>2</v>
      </c>
      <c r="Z7" s="24"/>
      <c r="AA7" s="23">
        <v>6</v>
      </c>
      <c r="AB7" s="24"/>
    </row>
    <row r="8" spans="1:32" x14ac:dyDescent="0.3">
      <c r="D8" s="1" t="s">
        <v>1</v>
      </c>
      <c r="E8" s="29">
        <v>45571</v>
      </c>
      <c r="F8" s="29"/>
      <c r="G8" s="29">
        <v>45586</v>
      </c>
      <c r="H8" s="29"/>
      <c r="I8" s="29">
        <v>45607</v>
      </c>
      <c r="J8" s="29"/>
      <c r="K8" s="29">
        <v>45612</v>
      </c>
      <c r="L8" s="29"/>
      <c r="M8" s="29">
        <v>45620</v>
      </c>
      <c r="N8" s="29"/>
      <c r="O8" s="29">
        <v>45633</v>
      </c>
      <c r="P8" s="29"/>
      <c r="Q8" s="29">
        <v>45682</v>
      </c>
      <c r="R8" s="29"/>
      <c r="S8" s="29">
        <v>45697</v>
      </c>
      <c r="T8" s="29"/>
      <c r="U8" s="29">
        <v>45725</v>
      </c>
      <c r="V8" s="29"/>
      <c r="W8" s="29">
        <v>45738</v>
      </c>
      <c r="X8" s="29"/>
      <c r="Y8" s="29">
        <v>45773</v>
      </c>
      <c r="Z8" s="29"/>
      <c r="AA8" s="29">
        <v>45430</v>
      </c>
      <c r="AB8" s="29"/>
      <c r="AD8" s="11"/>
    </row>
    <row r="9" spans="1:32" x14ac:dyDescent="0.3">
      <c r="D9" s="1" t="s">
        <v>2</v>
      </c>
      <c r="E9" s="26">
        <v>21</v>
      </c>
      <c r="F9" s="26"/>
      <c r="G9" s="26">
        <v>135</v>
      </c>
      <c r="H9" s="26"/>
      <c r="I9" s="26">
        <v>16</v>
      </c>
      <c r="J9" s="26"/>
      <c r="K9" s="26">
        <v>30</v>
      </c>
      <c r="L9" s="26"/>
      <c r="M9" s="26">
        <v>157</v>
      </c>
      <c r="N9" s="26"/>
      <c r="O9" s="26">
        <v>249</v>
      </c>
      <c r="P9" s="26"/>
      <c r="Q9" s="26">
        <v>14</v>
      </c>
      <c r="R9" s="26"/>
      <c r="S9" s="26">
        <v>131</v>
      </c>
      <c r="T9" s="26"/>
      <c r="U9" s="26">
        <v>22</v>
      </c>
      <c r="V9" s="26"/>
      <c r="W9" s="26">
        <v>140</v>
      </c>
      <c r="X9" s="26"/>
      <c r="Y9" s="26">
        <v>11</v>
      </c>
      <c r="Z9" s="26"/>
      <c r="AA9" s="26">
        <f>35+90</f>
        <v>125</v>
      </c>
      <c r="AB9" s="26"/>
    </row>
    <row r="10" spans="1:3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34</v>
      </c>
      <c r="AE10" s="1" t="s">
        <v>9</v>
      </c>
      <c r="AF10" s="1" t="s">
        <v>36</v>
      </c>
    </row>
    <row r="11" spans="1:32" x14ac:dyDescent="0.3">
      <c r="A11" s="5">
        <v>1</v>
      </c>
      <c r="B11" s="6" t="s">
        <v>328</v>
      </c>
      <c r="C11" s="6" t="s">
        <v>329</v>
      </c>
      <c r="D11" s="6" t="s">
        <v>49</v>
      </c>
      <c r="E11" s="6"/>
      <c r="F11" s="7">
        <f t="shared" ref="F11:F45" si="0">IF(E11=0,,($E$9-E11)*$E$7*100/$E$9)</f>
        <v>0</v>
      </c>
      <c r="G11" s="6">
        <v>6</v>
      </c>
      <c r="H11" s="17">
        <f t="shared" ref="H11:H45" si="1">IF(G11=0,,($G$9-G11)*$G$7*100/$G$9)</f>
        <v>477.77777777777777</v>
      </c>
      <c r="I11" s="6">
        <v>3</v>
      </c>
      <c r="J11" s="7">
        <f t="shared" ref="J11:J31" si="2">IF(I11=0,,($I$9-I11)*$I$7*100/$I$9)</f>
        <v>162.5</v>
      </c>
      <c r="K11" s="6"/>
      <c r="L11" s="7">
        <f t="shared" ref="L11:L45" si="3">IF(K11=0,,($K$9-K11)*$K$7*100/$K$9)</f>
        <v>0</v>
      </c>
      <c r="M11" s="6">
        <v>9</v>
      </c>
      <c r="N11" s="17">
        <f t="shared" ref="N11:N45" si="4">IF(M11=0,,($M$9-M11)*$M$7*100/$M$9)</f>
        <v>471.33757961783442</v>
      </c>
      <c r="O11" s="6">
        <v>42</v>
      </c>
      <c r="P11" s="17">
        <f t="shared" ref="P11:P45" si="5">IF(O11=0,,($O$9-O11)*$O$7*100/$O$9)</f>
        <v>498.79518072289159</v>
      </c>
      <c r="Q11" s="6"/>
      <c r="R11" s="7">
        <f t="shared" ref="R11:R43" si="6">IF(Q11=0,,($Q$9-Q11)*$Q$7*100/$Q$9)</f>
        <v>0</v>
      </c>
      <c r="S11" s="6">
        <v>24</v>
      </c>
      <c r="T11" s="7">
        <f t="shared" ref="T11:T45" si="7">IF(S11=0,,($S$9-S11)*$S$7*100/$S$9)</f>
        <v>408.39694656488547</v>
      </c>
      <c r="U11" s="6">
        <v>2</v>
      </c>
      <c r="V11" s="7">
        <f t="shared" ref="V11:V43" si="8">IF(U11=0,,($U$9-U11)*$U$7*100/$U$9)</f>
        <v>272.72727272727275</v>
      </c>
      <c r="W11" s="6">
        <v>11</v>
      </c>
      <c r="X11" s="7">
        <f t="shared" ref="X11:X27" si="9">IF(W11=0,,($W$9-W11)*$W$7*100/$W$9)</f>
        <v>460.71428571428572</v>
      </c>
      <c r="Y11" s="6"/>
      <c r="Z11" s="7">
        <f t="shared" ref="Z11:Z36" si="10">IF(Y11=0,,($Y$9-Y11)*$Y$7*100/$Y$9)</f>
        <v>0</v>
      </c>
      <c r="AA11" s="6">
        <v>10</v>
      </c>
      <c r="AB11" s="17">
        <f t="shared" ref="AB11:AB45" si="11">IF(AA11=0,,($AA$9-AA11)*$AA$7*100/$AA$9)</f>
        <v>552</v>
      </c>
      <c r="AC11" s="8">
        <f>AB11+P11+N11+H11</f>
        <v>1999.9105381185036</v>
      </c>
      <c r="AD11" s="6">
        <f t="shared" ref="AD11:AD45" si="12">COUNTA(AA11,Y11,W11,U11,S11,Q11,M11,K11,G11,E11,I11,O11)</f>
        <v>8</v>
      </c>
      <c r="AE11" s="6">
        <f t="shared" ref="AE11:AE45" si="13">ROW(B11)-10</f>
        <v>1</v>
      </c>
      <c r="AF11" s="13">
        <f t="shared" ref="AF11:AF45" si="14">AD11/$G$3</f>
        <v>0.66666666666666663</v>
      </c>
    </row>
    <row r="12" spans="1:32" x14ac:dyDescent="0.3">
      <c r="A12" s="5">
        <f>AE12</f>
        <v>2</v>
      </c>
      <c r="B12" s="6" t="s">
        <v>52</v>
      </c>
      <c r="C12" s="6" t="s">
        <v>53</v>
      </c>
      <c r="D12" s="6" t="s">
        <v>48</v>
      </c>
      <c r="E12" s="6">
        <v>1</v>
      </c>
      <c r="F12" s="7">
        <f t="shared" si="0"/>
        <v>190.47619047619048</v>
      </c>
      <c r="G12" s="6">
        <v>51</v>
      </c>
      <c r="H12" s="7">
        <f t="shared" si="1"/>
        <v>311.11111111111109</v>
      </c>
      <c r="I12" s="6">
        <v>1</v>
      </c>
      <c r="J12" s="7">
        <f t="shared" si="2"/>
        <v>187.5</v>
      </c>
      <c r="K12" s="6">
        <v>1</v>
      </c>
      <c r="L12" s="7">
        <f t="shared" si="3"/>
        <v>193.33333333333334</v>
      </c>
      <c r="M12" s="6">
        <v>26</v>
      </c>
      <c r="N12" s="17">
        <f t="shared" si="4"/>
        <v>417.19745222929936</v>
      </c>
      <c r="O12" s="6"/>
      <c r="P12" s="7">
        <f t="shared" si="5"/>
        <v>0</v>
      </c>
      <c r="Q12" s="6">
        <v>1</v>
      </c>
      <c r="R12" s="7">
        <f t="shared" si="6"/>
        <v>185.71428571428572</v>
      </c>
      <c r="S12" s="6">
        <v>54</v>
      </c>
      <c r="T12" s="17">
        <f t="shared" si="7"/>
        <v>293.89312977099235</v>
      </c>
      <c r="U12" s="6">
        <v>1</v>
      </c>
      <c r="V12" s="7">
        <f t="shared" si="8"/>
        <v>286.36363636363637</v>
      </c>
      <c r="W12" s="6">
        <v>6</v>
      </c>
      <c r="X12" s="17">
        <f t="shared" si="9"/>
        <v>478.57142857142856</v>
      </c>
      <c r="Y12" s="6"/>
      <c r="Z12" s="7">
        <f t="shared" si="10"/>
        <v>0</v>
      </c>
      <c r="AA12" s="6">
        <v>3</v>
      </c>
      <c r="AB12" s="17">
        <f t="shared" si="11"/>
        <v>585.6</v>
      </c>
      <c r="AC12" s="8">
        <f>H12+X12+N12+AB12</f>
        <v>1792.4799919118391</v>
      </c>
      <c r="AD12" s="6">
        <f t="shared" si="12"/>
        <v>10</v>
      </c>
      <c r="AE12" s="6">
        <f t="shared" si="13"/>
        <v>2</v>
      </c>
      <c r="AF12" s="13">
        <f t="shared" si="14"/>
        <v>0.83333333333333337</v>
      </c>
    </row>
    <row r="13" spans="1:32" x14ac:dyDescent="0.3">
      <c r="A13" s="5">
        <v>2</v>
      </c>
      <c r="B13" s="6" t="s">
        <v>51</v>
      </c>
      <c r="C13" s="6" t="s">
        <v>50</v>
      </c>
      <c r="D13" s="6" t="s">
        <v>49</v>
      </c>
      <c r="E13" s="6">
        <v>2</v>
      </c>
      <c r="F13" s="7">
        <f t="shared" si="0"/>
        <v>180.95238095238096</v>
      </c>
      <c r="G13" s="6">
        <v>35</v>
      </c>
      <c r="H13" s="17">
        <f t="shared" si="1"/>
        <v>370.37037037037038</v>
      </c>
      <c r="I13" s="6">
        <v>2</v>
      </c>
      <c r="J13" s="7">
        <f t="shared" si="2"/>
        <v>175</v>
      </c>
      <c r="K13" s="6"/>
      <c r="L13" s="7">
        <f t="shared" si="3"/>
        <v>0</v>
      </c>
      <c r="M13" s="6">
        <v>36</v>
      </c>
      <c r="N13" s="17">
        <f t="shared" si="4"/>
        <v>385.35031847133757</v>
      </c>
      <c r="O13" s="6"/>
      <c r="P13" s="7">
        <f t="shared" si="5"/>
        <v>0</v>
      </c>
      <c r="Q13" s="6"/>
      <c r="R13" s="7">
        <f t="shared" si="6"/>
        <v>0</v>
      </c>
      <c r="S13" s="6">
        <v>23</v>
      </c>
      <c r="T13" s="17">
        <f t="shared" si="7"/>
        <v>412.21374045801525</v>
      </c>
      <c r="U13" s="6">
        <v>5</v>
      </c>
      <c r="V13" s="7">
        <f t="shared" si="8"/>
        <v>231.81818181818181</v>
      </c>
      <c r="W13" s="6">
        <v>56</v>
      </c>
      <c r="X13" s="7">
        <f t="shared" si="9"/>
        <v>300</v>
      </c>
      <c r="Y13" s="6"/>
      <c r="Z13" s="7">
        <f t="shared" si="10"/>
        <v>0</v>
      </c>
      <c r="AA13" s="6">
        <v>27</v>
      </c>
      <c r="AB13" s="17">
        <f t="shared" si="11"/>
        <v>470.4</v>
      </c>
      <c r="AC13" s="8">
        <f>T13+N13+H13+AB13</f>
        <v>1638.3344292997231</v>
      </c>
      <c r="AD13" s="6">
        <f t="shared" si="12"/>
        <v>8</v>
      </c>
      <c r="AE13" s="6">
        <f t="shared" si="13"/>
        <v>3</v>
      </c>
      <c r="AF13" s="13">
        <f t="shared" si="14"/>
        <v>0.66666666666666663</v>
      </c>
    </row>
    <row r="14" spans="1:32" x14ac:dyDescent="0.3">
      <c r="A14" s="5">
        <f t="shared" ref="A14:A45" si="15">AE14</f>
        <v>4</v>
      </c>
      <c r="B14" s="6" t="s">
        <v>61</v>
      </c>
      <c r="C14" s="6" t="s">
        <v>62</v>
      </c>
      <c r="D14" s="6" t="s">
        <v>48</v>
      </c>
      <c r="E14" s="6">
        <v>10</v>
      </c>
      <c r="F14" s="7">
        <f t="shared" si="0"/>
        <v>104.76190476190476</v>
      </c>
      <c r="G14" s="6">
        <v>111</v>
      </c>
      <c r="H14" s="7">
        <f t="shared" si="1"/>
        <v>88.888888888888886</v>
      </c>
      <c r="I14" s="6"/>
      <c r="J14" s="7">
        <f t="shared" si="2"/>
        <v>0</v>
      </c>
      <c r="K14" s="6">
        <v>5</v>
      </c>
      <c r="L14" s="7">
        <f t="shared" si="3"/>
        <v>166.66666666666666</v>
      </c>
      <c r="M14" s="6">
        <v>16</v>
      </c>
      <c r="N14" s="17">
        <f t="shared" si="4"/>
        <v>449.04458598726114</v>
      </c>
      <c r="O14" s="6"/>
      <c r="P14" s="7">
        <f t="shared" si="5"/>
        <v>0</v>
      </c>
      <c r="Q14" s="6"/>
      <c r="R14" s="7">
        <f t="shared" si="6"/>
        <v>0</v>
      </c>
      <c r="S14" s="6">
        <v>41</v>
      </c>
      <c r="T14" s="17">
        <f t="shared" si="7"/>
        <v>343.51145038167937</v>
      </c>
      <c r="U14" s="6"/>
      <c r="V14" s="7">
        <f t="shared" si="8"/>
        <v>0</v>
      </c>
      <c r="W14" s="6">
        <v>53</v>
      </c>
      <c r="X14" s="17">
        <f t="shared" si="9"/>
        <v>310.71428571428572</v>
      </c>
      <c r="Y14" s="6"/>
      <c r="Z14" s="7">
        <f t="shared" si="10"/>
        <v>0</v>
      </c>
      <c r="AA14" s="6">
        <f>35+19</f>
        <v>54</v>
      </c>
      <c r="AB14" s="17">
        <f t="shared" si="11"/>
        <v>340.8</v>
      </c>
      <c r="AC14" s="8">
        <f>T14+N14+AB14+X14</f>
        <v>1444.0703220832263</v>
      </c>
      <c r="AD14" s="6">
        <f t="shared" si="12"/>
        <v>7</v>
      </c>
      <c r="AE14" s="6">
        <f t="shared" si="13"/>
        <v>4</v>
      </c>
      <c r="AF14" s="13">
        <f t="shared" si="14"/>
        <v>0.58333333333333337</v>
      </c>
    </row>
    <row r="15" spans="1:32" x14ac:dyDescent="0.3">
      <c r="A15" s="5">
        <f t="shared" si="15"/>
        <v>5</v>
      </c>
      <c r="B15" s="6" t="s">
        <v>348</v>
      </c>
      <c r="C15" s="6" t="s">
        <v>179</v>
      </c>
      <c r="D15" s="6" t="s">
        <v>49</v>
      </c>
      <c r="E15" s="6"/>
      <c r="F15" s="7">
        <f t="shared" si="0"/>
        <v>0</v>
      </c>
      <c r="G15" s="6">
        <v>43</v>
      </c>
      <c r="H15" s="17">
        <f t="shared" si="1"/>
        <v>340.74074074074076</v>
      </c>
      <c r="I15" s="6">
        <v>7</v>
      </c>
      <c r="J15" s="7">
        <f t="shared" si="2"/>
        <v>112.5</v>
      </c>
      <c r="K15" s="6">
        <v>8</v>
      </c>
      <c r="L15" s="7">
        <f t="shared" si="3"/>
        <v>146.66666666666666</v>
      </c>
      <c r="M15" s="6">
        <v>65</v>
      </c>
      <c r="N15" s="17">
        <f t="shared" si="4"/>
        <v>292.99363057324842</v>
      </c>
      <c r="O15" s="6"/>
      <c r="P15" s="7">
        <f t="shared" si="5"/>
        <v>0</v>
      </c>
      <c r="Q15" s="6">
        <v>3</v>
      </c>
      <c r="R15" s="7">
        <f t="shared" si="6"/>
        <v>157.14285714285714</v>
      </c>
      <c r="S15" s="6">
        <v>16</v>
      </c>
      <c r="T15" s="17">
        <f t="shared" si="7"/>
        <v>438.93129770992368</v>
      </c>
      <c r="U15" s="6">
        <v>3</v>
      </c>
      <c r="V15" s="7">
        <f t="shared" si="8"/>
        <v>259.09090909090907</v>
      </c>
      <c r="W15" s="6">
        <v>49</v>
      </c>
      <c r="X15" s="17">
        <f t="shared" si="9"/>
        <v>325</v>
      </c>
      <c r="Y15" s="6"/>
      <c r="Z15" s="7">
        <f t="shared" si="10"/>
        <v>0</v>
      </c>
      <c r="AA15" s="6">
        <f>35+38</f>
        <v>73</v>
      </c>
      <c r="AB15" s="7">
        <f t="shared" si="11"/>
        <v>249.6</v>
      </c>
      <c r="AC15" s="8">
        <f>T15+X15+N15+H15</f>
        <v>1397.6656690239129</v>
      </c>
      <c r="AD15" s="6">
        <f t="shared" si="12"/>
        <v>9</v>
      </c>
      <c r="AE15" s="6">
        <f t="shared" si="13"/>
        <v>5</v>
      </c>
      <c r="AF15" s="13">
        <f t="shared" si="14"/>
        <v>0.75</v>
      </c>
    </row>
    <row r="16" spans="1:32" x14ac:dyDescent="0.3">
      <c r="A16" s="5">
        <f t="shared" si="15"/>
        <v>6</v>
      </c>
      <c r="B16" s="6" t="s">
        <v>244</v>
      </c>
      <c r="C16" s="6" t="s">
        <v>241</v>
      </c>
      <c r="D16" s="6" t="s">
        <v>65</v>
      </c>
      <c r="E16" s="6">
        <v>3</v>
      </c>
      <c r="F16" s="7">
        <f t="shared" si="0"/>
        <v>171.42857142857142</v>
      </c>
      <c r="G16" s="6">
        <v>40</v>
      </c>
      <c r="H16" s="17">
        <f t="shared" si="1"/>
        <v>351.85185185185185</v>
      </c>
      <c r="I16" s="6"/>
      <c r="J16" s="7">
        <f t="shared" si="2"/>
        <v>0</v>
      </c>
      <c r="K16" s="6">
        <v>4</v>
      </c>
      <c r="L16" s="7">
        <f t="shared" si="3"/>
        <v>173.33333333333334</v>
      </c>
      <c r="M16" s="6">
        <v>43</v>
      </c>
      <c r="N16" s="17">
        <f t="shared" si="4"/>
        <v>363.05732484076435</v>
      </c>
      <c r="O16" s="6"/>
      <c r="P16" s="7">
        <f t="shared" si="5"/>
        <v>0</v>
      </c>
      <c r="Q16" s="6"/>
      <c r="R16" s="7">
        <f t="shared" si="6"/>
        <v>0</v>
      </c>
      <c r="S16" s="6">
        <v>77</v>
      </c>
      <c r="T16" s="7">
        <f t="shared" si="7"/>
        <v>206.10687022900763</v>
      </c>
      <c r="U16" s="6">
        <v>6</v>
      </c>
      <c r="V16" s="17">
        <f t="shared" si="8"/>
        <v>218.18181818181819</v>
      </c>
      <c r="W16" s="6">
        <v>69</v>
      </c>
      <c r="X16" s="17">
        <f t="shared" si="9"/>
        <v>253.57142857142858</v>
      </c>
      <c r="Y16" s="6"/>
      <c r="Z16" s="7">
        <f t="shared" si="10"/>
        <v>0</v>
      </c>
      <c r="AA16" s="6">
        <f>35+53</f>
        <v>88</v>
      </c>
      <c r="AB16" s="7">
        <f t="shared" si="11"/>
        <v>177.6</v>
      </c>
      <c r="AC16" s="8">
        <f>X16+N16+V16+H16</f>
        <v>1186.6624234458632</v>
      </c>
      <c r="AD16" s="6">
        <f t="shared" si="12"/>
        <v>8</v>
      </c>
      <c r="AE16" s="6">
        <f t="shared" si="13"/>
        <v>6</v>
      </c>
      <c r="AF16" s="13">
        <f t="shared" si="14"/>
        <v>0.66666666666666663</v>
      </c>
    </row>
    <row r="17" spans="1:32" x14ac:dyDescent="0.3">
      <c r="A17" s="5">
        <f t="shared" si="15"/>
        <v>7</v>
      </c>
      <c r="B17" s="6" t="s">
        <v>136</v>
      </c>
      <c r="C17" s="6" t="s">
        <v>210</v>
      </c>
      <c r="D17" s="6" t="s">
        <v>48</v>
      </c>
      <c r="E17" s="6">
        <v>11</v>
      </c>
      <c r="F17" s="7">
        <f t="shared" si="0"/>
        <v>95.238095238095241</v>
      </c>
      <c r="G17" s="6">
        <v>60</v>
      </c>
      <c r="H17" s="17">
        <f t="shared" si="1"/>
        <v>277.77777777777777</v>
      </c>
      <c r="I17" s="6"/>
      <c r="J17" s="7">
        <f t="shared" si="2"/>
        <v>0</v>
      </c>
      <c r="K17" s="6"/>
      <c r="L17" s="7">
        <f t="shared" si="3"/>
        <v>0</v>
      </c>
      <c r="M17" s="6">
        <v>85</v>
      </c>
      <c r="N17" s="7">
        <f t="shared" si="4"/>
        <v>229.29936305732485</v>
      </c>
      <c r="O17" s="6"/>
      <c r="P17" s="7">
        <f t="shared" si="5"/>
        <v>0</v>
      </c>
      <c r="Q17" s="6">
        <v>2</v>
      </c>
      <c r="R17" s="7">
        <f t="shared" si="6"/>
        <v>171.42857142857142</v>
      </c>
      <c r="S17" s="6">
        <v>69</v>
      </c>
      <c r="T17" s="17">
        <f t="shared" si="7"/>
        <v>236.64122137404581</v>
      </c>
      <c r="U17" s="6">
        <v>3</v>
      </c>
      <c r="V17" s="17">
        <f t="shared" si="8"/>
        <v>259.09090909090907</v>
      </c>
      <c r="W17" s="6"/>
      <c r="X17" s="7">
        <f t="shared" si="9"/>
        <v>0</v>
      </c>
      <c r="Y17" s="6"/>
      <c r="Z17" s="7">
        <f t="shared" si="10"/>
        <v>0</v>
      </c>
      <c r="AA17" s="6">
        <f>35+10</f>
        <v>45</v>
      </c>
      <c r="AB17" s="17">
        <f t="shared" si="11"/>
        <v>384</v>
      </c>
      <c r="AC17" s="8">
        <f>T17+V17+AB17+H17</f>
        <v>1157.5099082427328</v>
      </c>
      <c r="AD17" s="6">
        <f t="shared" si="12"/>
        <v>7</v>
      </c>
      <c r="AE17" s="6">
        <f t="shared" si="13"/>
        <v>7</v>
      </c>
      <c r="AF17" s="13">
        <f t="shared" si="14"/>
        <v>0.58333333333333337</v>
      </c>
    </row>
    <row r="18" spans="1:32" x14ac:dyDescent="0.3">
      <c r="A18" s="5">
        <f t="shared" si="15"/>
        <v>8</v>
      </c>
      <c r="B18" s="6" t="s">
        <v>63</v>
      </c>
      <c r="C18" s="6" t="s">
        <v>64</v>
      </c>
      <c r="D18" s="6" t="s">
        <v>65</v>
      </c>
      <c r="E18" s="6">
        <v>7</v>
      </c>
      <c r="F18" s="7">
        <f t="shared" si="0"/>
        <v>133.33333333333334</v>
      </c>
      <c r="G18" s="6">
        <v>64</v>
      </c>
      <c r="H18" s="17">
        <f t="shared" si="1"/>
        <v>262.96296296296299</v>
      </c>
      <c r="I18" s="6"/>
      <c r="J18" s="7">
        <f t="shared" si="2"/>
        <v>0</v>
      </c>
      <c r="K18" s="6">
        <v>15</v>
      </c>
      <c r="L18" s="7">
        <f t="shared" si="3"/>
        <v>100</v>
      </c>
      <c r="M18" s="6">
        <v>80</v>
      </c>
      <c r="N18" s="17">
        <f t="shared" si="4"/>
        <v>245.22292993630575</v>
      </c>
      <c r="O18" s="6"/>
      <c r="P18" s="7">
        <f t="shared" si="5"/>
        <v>0</v>
      </c>
      <c r="Q18" s="6"/>
      <c r="R18" s="7">
        <f t="shared" si="6"/>
        <v>0</v>
      </c>
      <c r="S18" s="6">
        <v>71</v>
      </c>
      <c r="T18" s="7">
        <f t="shared" si="7"/>
        <v>229.00763358778627</v>
      </c>
      <c r="U18" s="6">
        <v>7</v>
      </c>
      <c r="V18" s="7">
        <f t="shared" si="8"/>
        <v>204.54545454545453</v>
      </c>
      <c r="W18" s="6">
        <v>64</v>
      </c>
      <c r="X18" s="17">
        <f t="shared" si="9"/>
        <v>271.42857142857144</v>
      </c>
      <c r="Y18" s="6">
        <v>10</v>
      </c>
      <c r="Z18" s="7">
        <f t="shared" si="10"/>
        <v>18.181818181818183</v>
      </c>
      <c r="AA18" s="6">
        <f>35+13</f>
        <v>48</v>
      </c>
      <c r="AB18" s="17">
        <f t="shared" si="11"/>
        <v>369.6</v>
      </c>
      <c r="AC18" s="8">
        <f>AB18+N18+H18+X18</f>
        <v>1149.2144643278402</v>
      </c>
      <c r="AD18" s="6">
        <f t="shared" si="12"/>
        <v>9</v>
      </c>
      <c r="AE18" s="6">
        <f t="shared" si="13"/>
        <v>8</v>
      </c>
      <c r="AF18" s="13">
        <f t="shared" si="14"/>
        <v>0.75</v>
      </c>
    </row>
    <row r="19" spans="1:32" x14ac:dyDescent="0.3">
      <c r="A19" s="5">
        <f t="shared" si="15"/>
        <v>9</v>
      </c>
      <c r="B19" s="6" t="s">
        <v>245</v>
      </c>
      <c r="C19" s="6" t="s">
        <v>164</v>
      </c>
      <c r="D19" s="6" t="s">
        <v>65</v>
      </c>
      <c r="E19" s="6">
        <v>3</v>
      </c>
      <c r="F19" s="17">
        <f t="shared" si="0"/>
        <v>171.42857142857142</v>
      </c>
      <c r="G19" s="6">
        <v>54</v>
      </c>
      <c r="H19" s="17">
        <f t="shared" si="1"/>
        <v>300</v>
      </c>
      <c r="I19" s="6"/>
      <c r="J19" s="7">
        <f t="shared" si="2"/>
        <v>0</v>
      </c>
      <c r="K19" s="6">
        <v>11</v>
      </c>
      <c r="L19" s="7">
        <f t="shared" si="3"/>
        <v>126.66666666666667</v>
      </c>
      <c r="M19" s="6">
        <v>37</v>
      </c>
      <c r="N19" s="17">
        <f t="shared" si="4"/>
        <v>382.16560509554142</v>
      </c>
      <c r="O19" s="6"/>
      <c r="P19" s="7">
        <f t="shared" si="5"/>
        <v>0</v>
      </c>
      <c r="Q19" s="6"/>
      <c r="R19" s="7">
        <f t="shared" si="6"/>
        <v>0</v>
      </c>
      <c r="S19" s="6">
        <v>59</v>
      </c>
      <c r="T19" s="17">
        <f t="shared" si="7"/>
        <v>274.80916030534354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6">
        <f>35+56</f>
        <v>91</v>
      </c>
      <c r="AB19" s="17">
        <f t="shared" si="11"/>
        <v>163.19999999999999</v>
      </c>
      <c r="AC19" s="8">
        <f>H19+N19+T19+AB19</f>
        <v>1120.174765400885</v>
      </c>
      <c r="AD19" s="6">
        <f t="shared" si="12"/>
        <v>6</v>
      </c>
      <c r="AE19" s="6">
        <f t="shared" si="13"/>
        <v>9</v>
      </c>
      <c r="AF19" s="13">
        <f t="shared" si="14"/>
        <v>0.5</v>
      </c>
    </row>
    <row r="20" spans="1:32" x14ac:dyDescent="0.3">
      <c r="A20" s="5">
        <f t="shared" si="15"/>
        <v>10</v>
      </c>
      <c r="B20" s="6" t="s">
        <v>346</v>
      </c>
      <c r="C20" s="6" t="s">
        <v>347</v>
      </c>
      <c r="D20" s="6" t="s">
        <v>48</v>
      </c>
      <c r="E20" s="6"/>
      <c r="F20" s="7">
        <f t="shared" si="0"/>
        <v>0</v>
      </c>
      <c r="G20" s="6">
        <v>77</v>
      </c>
      <c r="H20" s="17">
        <f t="shared" si="1"/>
        <v>214.81481481481481</v>
      </c>
      <c r="I20" s="6"/>
      <c r="J20" s="7">
        <f t="shared" si="2"/>
        <v>0</v>
      </c>
      <c r="K20" s="6">
        <v>10</v>
      </c>
      <c r="L20" s="7">
        <f t="shared" si="3"/>
        <v>133.33333333333334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6">
        <v>8</v>
      </c>
      <c r="V20" s="17">
        <f t="shared" si="8"/>
        <v>190.90909090909091</v>
      </c>
      <c r="W20" s="6">
        <v>56</v>
      </c>
      <c r="X20" s="17">
        <f t="shared" si="9"/>
        <v>300</v>
      </c>
      <c r="Y20" s="6"/>
      <c r="Z20" s="7">
        <f t="shared" si="10"/>
        <v>0</v>
      </c>
      <c r="AA20" s="6">
        <f>35+22</f>
        <v>57</v>
      </c>
      <c r="AB20" s="17">
        <f t="shared" si="11"/>
        <v>326.39999999999998</v>
      </c>
      <c r="AC20" s="8">
        <f>AB20+X20+V20+H20</f>
        <v>1032.1239057239056</v>
      </c>
      <c r="AD20" s="6">
        <f t="shared" si="12"/>
        <v>5</v>
      </c>
      <c r="AE20" s="6">
        <f t="shared" si="13"/>
        <v>10</v>
      </c>
      <c r="AF20" s="13">
        <f t="shared" si="14"/>
        <v>0.41666666666666669</v>
      </c>
    </row>
    <row r="21" spans="1:32" x14ac:dyDescent="0.3">
      <c r="A21" s="5">
        <f t="shared" si="15"/>
        <v>11</v>
      </c>
      <c r="B21" s="6" t="s">
        <v>67</v>
      </c>
      <c r="C21" s="6" t="s">
        <v>66</v>
      </c>
      <c r="D21" s="6" t="s">
        <v>221</v>
      </c>
      <c r="E21" s="6">
        <v>15</v>
      </c>
      <c r="F21" s="7">
        <f t="shared" si="0"/>
        <v>57.142857142857146</v>
      </c>
      <c r="G21" s="6"/>
      <c r="H21" s="7">
        <f t="shared" si="1"/>
        <v>0</v>
      </c>
      <c r="I21" s="6">
        <v>6</v>
      </c>
      <c r="J21" s="7">
        <f t="shared" si="2"/>
        <v>125</v>
      </c>
      <c r="K21" s="6">
        <v>17</v>
      </c>
      <c r="L21" s="7">
        <f t="shared" si="3"/>
        <v>86.666666666666671</v>
      </c>
      <c r="M21" s="6">
        <v>109</v>
      </c>
      <c r="N21" s="17">
        <f t="shared" si="4"/>
        <v>152.86624203821657</v>
      </c>
      <c r="O21" s="6"/>
      <c r="P21" s="7">
        <f t="shared" si="5"/>
        <v>0</v>
      </c>
      <c r="Q21" s="6">
        <v>6</v>
      </c>
      <c r="R21" s="7">
        <f t="shared" si="6"/>
        <v>114.28571428571429</v>
      </c>
      <c r="S21" s="6">
        <v>83</v>
      </c>
      <c r="T21" s="17">
        <f t="shared" si="7"/>
        <v>183.20610687022901</v>
      </c>
      <c r="U21" s="6">
        <v>14</v>
      </c>
      <c r="V21" s="7">
        <f t="shared" si="8"/>
        <v>109.09090909090909</v>
      </c>
      <c r="W21" s="6">
        <v>77</v>
      </c>
      <c r="X21" s="17">
        <f t="shared" si="9"/>
        <v>225</v>
      </c>
      <c r="Y21" s="6">
        <v>5</v>
      </c>
      <c r="Z21" s="7">
        <f t="shared" si="10"/>
        <v>109.09090909090909</v>
      </c>
      <c r="AA21" s="6">
        <f>35+21</f>
        <v>56</v>
      </c>
      <c r="AB21" s="17">
        <f t="shared" si="11"/>
        <v>331.2</v>
      </c>
      <c r="AC21" s="8">
        <f>T21+X21+N21+AB21</f>
        <v>892.27234890844557</v>
      </c>
      <c r="AD21" s="6">
        <f t="shared" si="12"/>
        <v>10</v>
      </c>
      <c r="AE21" s="6">
        <f t="shared" si="13"/>
        <v>11</v>
      </c>
      <c r="AF21" s="13">
        <f t="shared" si="14"/>
        <v>0.83333333333333337</v>
      </c>
    </row>
    <row r="22" spans="1:32" x14ac:dyDescent="0.3">
      <c r="A22" s="5">
        <f t="shared" si="15"/>
        <v>12</v>
      </c>
      <c r="B22" s="6" t="s">
        <v>73</v>
      </c>
      <c r="C22" s="6" t="s">
        <v>74</v>
      </c>
      <c r="D22" s="6" t="s">
        <v>48</v>
      </c>
      <c r="E22" s="6">
        <v>8</v>
      </c>
      <c r="F22" s="7">
        <f t="shared" si="0"/>
        <v>123.80952380952381</v>
      </c>
      <c r="G22" s="6">
        <v>103</v>
      </c>
      <c r="H22" s="7">
        <f t="shared" si="1"/>
        <v>118.51851851851852</v>
      </c>
      <c r="I22" s="6">
        <v>3</v>
      </c>
      <c r="J22" s="17">
        <f t="shared" si="2"/>
        <v>162.5</v>
      </c>
      <c r="K22" s="6">
        <v>20</v>
      </c>
      <c r="L22" s="7">
        <f t="shared" si="3"/>
        <v>66.666666666666671</v>
      </c>
      <c r="M22" s="6">
        <v>40</v>
      </c>
      <c r="N22" s="17">
        <f t="shared" si="4"/>
        <v>372.61146496815286</v>
      </c>
      <c r="O22" s="6"/>
      <c r="P22" s="7">
        <f t="shared" si="5"/>
        <v>0</v>
      </c>
      <c r="Q22" s="6">
        <v>3</v>
      </c>
      <c r="R22" s="17">
        <f t="shared" si="6"/>
        <v>157.14285714285714</v>
      </c>
      <c r="S22" s="6">
        <v>97</v>
      </c>
      <c r="T22" s="7">
        <f t="shared" si="7"/>
        <v>129.7709923664122</v>
      </c>
      <c r="U22" s="6">
        <v>16</v>
      </c>
      <c r="V22" s="7">
        <f t="shared" si="8"/>
        <v>81.818181818181813</v>
      </c>
      <c r="W22" s="6">
        <v>92</v>
      </c>
      <c r="X22" s="17">
        <f t="shared" si="9"/>
        <v>171.42857142857142</v>
      </c>
      <c r="Y22" s="6">
        <v>7</v>
      </c>
      <c r="Z22" s="7">
        <f t="shared" si="10"/>
        <v>72.727272727272734</v>
      </c>
      <c r="AA22" s="6">
        <f>35+61</f>
        <v>96</v>
      </c>
      <c r="AB22" s="7">
        <f t="shared" si="11"/>
        <v>139.19999999999999</v>
      </c>
      <c r="AC22" s="8">
        <f>J22+N22+R22+X22</f>
        <v>863.68289353958141</v>
      </c>
      <c r="AD22" s="6">
        <f t="shared" si="12"/>
        <v>11</v>
      </c>
      <c r="AE22" s="6">
        <f t="shared" si="13"/>
        <v>12</v>
      </c>
      <c r="AF22" s="13">
        <f t="shared" si="14"/>
        <v>0.91666666666666663</v>
      </c>
    </row>
    <row r="23" spans="1:32" x14ac:dyDescent="0.3">
      <c r="A23" s="5">
        <f t="shared" si="15"/>
        <v>13</v>
      </c>
      <c r="B23" s="6" t="s">
        <v>79</v>
      </c>
      <c r="C23" s="6" t="s">
        <v>80</v>
      </c>
      <c r="D23" s="6" t="s">
        <v>48</v>
      </c>
      <c r="E23" s="6">
        <v>12</v>
      </c>
      <c r="F23" s="7">
        <f t="shared" si="0"/>
        <v>85.714285714285708</v>
      </c>
      <c r="G23" s="6">
        <v>91</v>
      </c>
      <c r="H23" s="17">
        <f t="shared" si="1"/>
        <v>162.96296296296296</v>
      </c>
      <c r="I23" s="6">
        <v>5</v>
      </c>
      <c r="J23" s="17">
        <f t="shared" si="2"/>
        <v>137.5</v>
      </c>
      <c r="K23" s="6"/>
      <c r="L23" s="7">
        <f t="shared" si="3"/>
        <v>0</v>
      </c>
      <c r="M23" s="6">
        <v>114</v>
      </c>
      <c r="N23" s="7">
        <f t="shared" si="4"/>
        <v>136.94267515923568</v>
      </c>
      <c r="O23" s="6"/>
      <c r="P23" s="7">
        <f t="shared" si="5"/>
        <v>0</v>
      </c>
      <c r="Q23" s="6"/>
      <c r="R23" s="7">
        <f t="shared" si="6"/>
        <v>0</v>
      </c>
      <c r="S23" s="6">
        <v>102</v>
      </c>
      <c r="T23" s="7">
        <f t="shared" si="7"/>
        <v>110.68702290076335</v>
      </c>
      <c r="U23" s="6">
        <v>10</v>
      </c>
      <c r="V23" s="17">
        <f t="shared" si="8"/>
        <v>163.63636363636363</v>
      </c>
      <c r="W23" s="6">
        <v>84</v>
      </c>
      <c r="X23" s="17">
        <f t="shared" si="9"/>
        <v>200</v>
      </c>
      <c r="Y23" s="6">
        <v>1</v>
      </c>
      <c r="Z23" s="7">
        <f t="shared" si="10"/>
        <v>181.81818181818181</v>
      </c>
      <c r="AA23" s="6">
        <f>35+81</f>
        <v>116</v>
      </c>
      <c r="AB23" s="7">
        <f t="shared" si="11"/>
        <v>43.2</v>
      </c>
      <c r="AC23" s="8">
        <f>V23+X23+J23+H23</f>
        <v>664.09932659932656</v>
      </c>
      <c r="AD23" s="6">
        <f t="shared" si="12"/>
        <v>9</v>
      </c>
      <c r="AE23" s="6">
        <f t="shared" si="13"/>
        <v>13</v>
      </c>
      <c r="AF23" s="13">
        <f t="shared" si="14"/>
        <v>0.75</v>
      </c>
    </row>
    <row r="24" spans="1:32" x14ac:dyDescent="0.3">
      <c r="A24" s="5">
        <f t="shared" si="15"/>
        <v>14</v>
      </c>
      <c r="B24" s="6" t="s">
        <v>68</v>
      </c>
      <c r="C24" s="6" t="s">
        <v>69</v>
      </c>
      <c r="D24" s="6" t="s">
        <v>49</v>
      </c>
      <c r="E24" s="6">
        <v>13</v>
      </c>
      <c r="F24" s="7">
        <f t="shared" si="0"/>
        <v>76.19047619047619</v>
      </c>
      <c r="G24" s="6">
        <v>72</v>
      </c>
      <c r="H24" s="7">
        <f t="shared" si="1"/>
        <v>233.33333333333334</v>
      </c>
      <c r="I24" s="6"/>
      <c r="J24" s="7">
        <f t="shared" si="2"/>
        <v>0</v>
      </c>
      <c r="K24" s="6"/>
      <c r="L24" s="7">
        <f t="shared" si="3"/>
        <v>0</v>
      </c>
      <c r="M24" s="6"/>
      <c r="N24" s="7">
        <f t="shared" si="4"/>
        <v>0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6">
        <v>73</v>
      </c>
      <c r="X24" s="7">
        <f t="shared" si="9"/>
        <v>239.28571428571428</v>
      </c>
      <c r="Y24" s="6"/>
      <c r="Z24" s="7">
        <f t="shared" si="10"/>
        <v>0</v>
      </c>
      <c r="AA24" s="6">
        <f>35+74</f>
        <v>109</v>
      </c>
      <c r="AB24" s="7">
        <f t="shared" si="11"/>
        <v>76.8</v>
      </c>
      <c r="AC24" s="8">
        <f>H24+N24+AB24+T24+F24+Z24+X24+V24+R24+L24+J24</f>
        <v>625.60952380952381</v>
      </c>
      <c r="AD24" s="6">
        <f t="shared" si="12"/>
        <v>4</v>
      </c>
      <c r="AE24" s="6">
        <f t="shared" si="13"/>
        <v>14</v>
      </c>
      <c r="AF24" s="13">
        <f t="shared" si="14"/>
        <v>0.33333333333333331</v>
      </c>
    </row>
    <row r="25" spans="1:32" x14ac:dyDescent="0.3">
      <c r="A25" s="5">
        <f t="shared" si="15"/>
        <v>15</v>
      </c>
      <c r="B25" s="6" t="s">
        <v>56</v>
      </c>
      <c r="C25" s="6" t="s">
        <v>57</v>
      </c>
      <c r="D25" s="6" t="s">
        <v>58</v>
      </c>
      <c r="E25" s="6">
        <v>5</v>
      </c>
      <c r="F25" s="17">
        <f t="shared" si="0"/>
        <v>152.38095238095238</v>
      </c>
      <c r="G25" s="6">
        <v>95</v>
      </c>
      <c r="H25" s="17">
        <f t="shared" si="1"/>
        <v>148.14814814814815</v>
      </c>
      <c r="I25" s="6">
        <v>8</v>
      </c>
      <c r="J25" s="7">
        <f t="shared" si="2"/>
        <v>100</v>
      </c>
      <c r="K25" s="6">
        <v>13</v>
      </c>
      <c r="L25" s="17">
        <f t="shared" si="3"/>
        <v>113.33333333333333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6">
        <v>9</v>
      </c>
      <c r="V25" s="17">
        <f t="shared" si="8"/>
        <v>177.27272727272728</v>
      </c>
      <c r="W25" s="6"/>
      <c r="X25" s="7">
        <f t="shared" si="9"/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>F25+H25+L25+V25</f>
        <v>591.13516113516118</v>
      </c>
      <c r="AD25" s="6">
        <f t="shared" si="12"/>
        <v>5</v>
      </c>
      <c r="AE25" s="6">
        <f t="shared" si="13"/>
        <v>15</v>
      </c>
      <c r="AF25" s="13">
        <f t="shared" si="14"/>
        <v>0.41666666666666669</v>
      </c>
    </row>
    <row r="26" spans="1:32" x14ac:dyDescent="0.3">
      <c r="A26" s="5">
        <f t="shared" si="15"/>
        <v>16</v>
      </c>
      <c r="B26" s="6" t="s">
        <v>59</v>
      </c>
      <c r="C26" s="6" t="s">
        <v>60</v>
      </c>
      <c r="D26" s="6" t="s">
        <v>48</v>
      </c>
      <c r="E26" s="6">
        <v>9</v>
      </c>
      <c r="F26" s="7">
        <f t="shared" si="0"/>
        <v>114.28571428571429</v>
      </c>
      <c r="G26" s="6">
        <v>115</v>
      </c>
      <c r="H26" s="7">
        <f t="shared" si="1"/>
        <v>74.074074074074076</v>
      </c>
      <c r="I26" s="6"/>
      <c r="J26" s="7">
        <f t="shared" si="2"/>
        <v>0</v>
      </c>
      <c r="K26" s="6">
        <v>25</v>
      </c>
      <c r="L26" s="7">
        <f t="shared" si="3"/>
        <v>33.333333333333336</v>
      </c>
      <c r="M26" s="6">
        <v>149</v>
      </c>
      <c r="N26" s="7">
        <f t="shared" si="4"/>
        <v>25.477707006369428</v>
      </c>
      <c r="O26" s="6"/>
      <c r="P26" s="7">
        <f t="shared" si="5"/>
        <v>0</v>
      </c>
      <c r="Q26" s="6">
        <v>5</v>
      </c>
      <c r="R26" s="17">
        <f t="shared" si="6"/>
        <v>128.57142857142858</v>
      </c>
      <c r="S26" s="6">
        <v>91</v>
      </c>
      <c r="T26" s="17">
        <f t="shared" si="7"/>
        <v>152.67175572519085</v>
      </c>
      <c r="U26" s="6">
        <v>11</v>
      </c>
      <c r="V26" s="17">
        <f t="shared" si="8"/>
        <v>150</v>
      </c>
      <c r="W26" s="6">
        <v>104</v>
      </c>
      <c r="X26" s="17">
        <f t="shared" si="9"/>
        <v>128.57142857142858</v>
      </c>
      <c r="Y26" s="6">
        <v>6</v>
      </c>
      <c r="Z26" s="7">
        <f t="shared" si="10"/>
        <v>90.909090909090907</v>
      </c>
      <c r="AA26" s="6">
        <f>35+86</f>
        <v>121</v>
      </c>
      <c r="AB26" s="7">
        <f t="shared" si="11"/>
        <v>19.2</v>
      </c>
      <c r="AC26" s="8">
        <f>T26+R26+V26+X26</f>
        <v>559.81461286804802</v>
      </c>
      <c r="AD26" s="6">
        <f t="shared" si="12"/>
        <v>10</v>
      </c>
      <c r="AE26" s="6">
        <f t="shared" si="13"/>
        <v>16</v>
      </c>
      <c r="AF26" s="13">
        <f t="shared" si="14"/>
        <v>0.83333333333333337</v>
      </c>
    </row>
    <row r="27" spans="1:32" x14ac:dyDescent="0.3">
      <c r="A27" s="5">
        <f t="shared" si="15"/>
        <v>17</v>
      </c>
      <c r="B27" s="6" t="s">
        <v>77</v>
      </c>
      <c r="C27" s="6" t="s">
        <v>78</v>
      </c>
      <c r="D27" s="6" t="s">
        <v>58</v>
      </c>
      <c r="E27" s="6">
        <v>6</v>
      </c>
      <c r="F27" s="7">
        <f t="shared" si="0"/>
        <v>142.85714285714286</v>
      </c>
      <c r="G27" s="6"/>
      <c r="H27" s="7">
        <f t="shared" si="1"/>
        <v>0</v>
      </c>
      <c r="I27" s="6">
        <v>10</v>
      </c>
      <c r="J27" s="7">
        <f t="shared" si="2"/>
        <v>75</v>
      </c>
      <c r="K27" s="6"/>
      <c r="L27" s="7">
        <f t="shared" si="3"/>
        <v>0</v>
      </c>
      <c r="M27" s="6"/>
      <c r="N27" s="7">
        <f t="shared" si="4"/>
        <v>0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6">
        <v>12</v>
      </c>
      <c r="V27" s="7">
        <f t="shared" si="8"/>
        <v>136.36363636363637</v>
      </c>
      <c r="W27" s="6"/>
      <c r="X27" s="7">
        <f t="shared" si="9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>H27+N27+AB27+T27+F27+Z27+X27+V27+R27+L27+J27</f>
        <v>354.22077922077926</v>
      </c>
      <c r="AD27" s="6">
        <f t="shared" si="12"/>
        <v>3</v>
      </c>
      <c r="AE27" s="6">
        <f t="shared" si="13"/>
        <v>17</v>
      </c>
      <c r="AF27" s="13">
        <f t="shared" si="14"/>
        <v>0.25</v>
      </c>
    </row>
    <row r="28" spans="1:32" x14ac:dyDescent="0.3">
      <c r="A28" s="5">
        <f t="shared" si="15"/>
        <v>18</v>
      </c>
      <c r="B28" s="6" t="s">
        <v>81</v>
      </c>
      <c r="C28" s="6" t="s">
        <v>82</v>
      </c>
      <c r="D28" s="6" t="s">
        <v>72</v>
      </c>
      <c r="E28" s="6">
        <v>19</v>
      </c>
      <c r="F28" s="17">
        <f t="shared" si="0"/>
        <v>19.047619047619047</v>
      </c>
      <c r="G28" s="6">
        <v>133</v>
      </c>
      <c r="H28" s="7">
        <f t="shared" si="1"/>
        <v>7.4074074074074074</v>
      </c>
      <c r="I28" s="6">
        <v>9</v>
      </c>
      <c r="J28" s="17">
        <f t="shared" si="2"/>
        <v>87.5</v>
      </c>
      <c r="K28" s="6">
        <v>28</v>
      </c>
      <c r="L28" s="7">
        <f t="shared" si="3"/>
        <v>13.333333333333334</v>
      </c>
      <c r="M28" s="6">
        <v>124</v>
      </c>
      <c r="N28" s="17">
        <f t="shared" si="4"/>
        <v>105.09554140127389</v>
      </c>
      <c r="O28" s="6"/>
      <c r="P28" s="7">
        <f t="shared" si="5"/>
        <v>0</v>
      </c>
      <c r="Q28" s="6"/>
      <c r="R28" s="7">
        <f t="shared" si="6"/>
        <v>0</v>
      </c>
      <c r="S28" s="6"/>
      <c r="T28" s="7">
        <f t="shared" si="7"/>
        <v>0</v>
      </c>
      <c r="U28" s="6">
        <v>15</v>
      </c>
      <c r="V28" s="17">
        <f t="shared" si="8"/>
        <v>95.454545454545453</v>
      </c>
      <c r="W28" s="6">
        <v>140</v>
      </c>
      <c r="X28" s="7">
        <f>4/2</f>
        <v>2</v>
      </c>
      <c r="Y28" s="6"/>
      <c r="Z28" s="7">
        <f t="shared" si="10"/>
        <v>0</v>
      </c>
      <c r="AA28" s="6"/>
      <c r="AB28" s="7">
        <f t="shared" si="11"/>
        <v>0</v>
      </c>
      <c r="AC28" s="8">
        <f>N28+V28+J28+F28</f>
        <v>307.0977059034384</v>
      </c>
      <c r="AD28" s="6">
        <f t="shared" si="12"/>
        <v>7</v>
      </c>
      <c r="AE28" s="6">
        <f t="shared" si="13"/>
        <v>18</v>
      </c>
      <c r="AF28" s="13">
        <f t="shared" si="14"/>
        <v>0.58333333333333337</v>
      </c>
    </row>
    <row r="29" spans="1:32" x14ac:dyDescent="0.3">
      <c r="A29" s="5">
        <f t="shared" si="15"/>
        <v>19</v>
      </c>
      <c r="B29" s="6" t="s">
        <v>85</v>
      </c>
      <c r="C29" s="6" t="s">
        <v>86</v>
      </c>
      <c r="D29" s="6" t="s">
        <v>72</v>
      </c>
      <c r="E29" s="6">
        <v>20</v>
      </c>
      <c r="F29" s="7">
        <f t="shared" si="0"/>
        <v>9.5238095238095237</v>
      </c>
      <c r="G29" s="6"/>
      <c r="H29" s="7">
        <f t="shared" si="1"/>
        <v>0</v>
      </c>
      <c r="I29" s="6">
        <v>11</v>
      </c>
      <c r="J29" s="17">
        <f t="shared" si="2"/>
        <v>62.5</v>
      </c>
      <c r="K29" s="6">
        <v>29</v>
      </c>
      <c r="L29" s="7">
        <f t="shared" si="3"/>
        <v>6.666666666666667</v>
      </c>
      <c r="M29" s="6">
        <v>127</v>
      </c>
      <c r="N29" s="17">
        <f t="shared" si="4"/>
        <v>95.541401273885356</v>
      </c>
      <c r="O29" s="6"/>
      <c r="P29" s="7">
        <f t="shared" si="5"/>
        <v>0</v>
      </c>
      <c r="Q29" s="6">
        <v>7</v>
      </c>
      <c r="R29" s="17">
        <f t="shared" si="6"/>
        <v>100</v>
      </c>
      <c r="S29" s="6"/>
      <c r="T29" s="7">
        <f t="shared" si="7"/>
        <v>0</v>
      </c>
      <c r="U29" s="6"/>
      <c r="V29" s="7">
        <f t="shared" si="8"/>
        <v>0</v>
      </c>
      <c r="W29" s="6">
        <v>128</v>
      </c>
      <c r="X29" s="17">
        <f t="shared" ref="X29:X45" si="16">IF(W29=0,,($W$9-W29)*$W$7*100/$W$9)</f>
        <v>42.857142857142854</v>
      </c>
      <c r="Y29" s="6"/>
      <c r="Z29" s="7">
        <f t="shared" si="10"/>
        <v>0</v>
      </c>
      <c r="AA29" s="6"/>
      <c r="AB29" s="7">
        <f t="shared" si="11"/>
        <v>0</v>
      </c>
      <c r="AC29" s="8">
        <f>R29+N29+J29+X29</f>
        <v>300.89854413102819</v>
      </c>
      <c r="AD29" s="6">
        <f t="shared" si="12"/>
        <v>6</v>
      </c>
      <c r="AE29" s="6">
        <f t="shared" si="13"/>
        <v>19</v>
      </c>
      <c r="AF29" s="13">
        <f t="shared" si="14"/>
        <v>0.5</v>
      </c>
    </row>
    <row r="30" spans="1:32" x14ac:dyDescent="0.3">
      <c r="A30" s="5">
        <f t="shared" si="15"/>
        <v>20</v>
      </c>
      <c r="B30" s="6" t="s">
        <v>213</v>
      </c>
      <c r="C30" s="6" t="s">
        <v>425</v>
      </c>
      <c r="D30" s="6" t="s">
        <v>401</v>
      </c>
      <c r="E30" s="6"/>
      <c r="F30" s="7">
        <f t="shared" si="0"/>
        <v>0</v>
      </c>
      <c r="G30" s="6"/>
      <c r="H30" s="7">
        <f t="shared" si="1"/>
        <v>0</v>
      </c>
      <c r="I30" s="6">
        <v>12</v>
      </c>
      <c r="J30" s="7">
        <f t="shared" si="2"/>
        <v>50</v>
      </c>
      <c r="K30" s="6"/>
      <c r="L30" s="7">
        <f t="shared" si="3"/>
        <v>0</v>
      </c>
      <c r="M30" s="6"/>
      <c r="N30" s="7">
        <f t="shared" si="4"/>
        <v>0</v>
      </c>
      <c r="O30" s="6"/>
      <c r="P30" s="7">
        <f t="shared" si="5"/>
        <v>0</v>
      </c>
      <c r="Q30" s="6">
        <v>11</v>
      </c>
      <c r="R30" s="7">
        <f t="shared" si="6"/>
        <v>42.857142857142854</v>
      </c>
      <c r="S30" s="6"/>
      <c r="T30" s="7">
        <f t="shared" si="7"/>
        <v>0</v>
      </c>
      <c r="U30" s="6">
        <v>17</v>
      </c>
      <c r="V30" s="7">
        <f t="shared" si="8"/>
        <v>68.181818181818187</v>
      </c>
      <c r="W30" s="6"/>
      <c r="X30" s="7">
        <f t="shared" si="16"/>
        <v>0</v>
      </c>
      <c r="Y30" s="6">
        <v>8</v>
      </c>
      <c r="Z30" s="7">
        <f t="shared" si="10"/>
        <v>54.545454545454547</v>
      </c>
      <c r="AA30" s="6"/>
      <c r="AB30" s="7">
        <f t="shared" si="11"/>
        <v>0</v>
      </c>
      <c r="AC30" s="8">
        <f t="shared" ref="AC30:AC45" si="17">H30+N30+AB30+T30+F30+Z30+X30+V30+R30+L30+J30</f>
        <v>215.58441558441558</v>
      </c>
      <c r="AD30" s="6">
        <f t="shared" si="12"/>
        <v>4</v>
      </c>
      <c r="AE30" s="6">
        <f t="shared" si="13"/>
        <v>20</v>
      </c>
      <c r="AF30" s="13">
        <f t="shared" si="14"/>
        <v>0.33333333333333331</v>
      </c>
    </row>
    <row r="31" spans="1:32" x14ac:dyDescent="0.3">
      <c r="A31" s="5">
        <f t="shared" si="15"/>
        <v>21</v>
      </c>
      <c r="B31" s="6" t="s">
        <v>426</v>
      </c>
      <c r="C31" s="6" t="s">
        <v>427</v>
      </c>
      <c r="D31" s="6" t="s">
        <v>49</v>
      </c>
      <c r="E31" s="6"/>
      <c r="F31" s="7">
        <f t="shared" si="0"/>
        <v>0</v>
      </c>
      <c r="G31" s="6"/>
      <c r="H31" s="7">
        <f t="shared" si="1"/>
        <v>0</v>
      </c>
      <c r="I31" s="6">
        <v>13</v>
      </c>
      <c r="J31" s="7">
        <f t="shared" si="2"/>
        <v>37.5</v>
      </c>
      <c r="K31" s="6"/>
      <c r="L31" s="7">
        <f t="shared" si="3"/>
        <v>0</v>
      </c>
      <c r="M31" s="6"/>
      <c r="N31" s="7">
        <f t="shared" si="4"/>
        <v>0</v>
      </c>
      <c r="O31" s="6"/>
      <c r="P31" s="7">
        <f t="shared" si="5"/>
        <v>0</v>
      </c>
      <c r="Q31" s="6"/>
      <c r="R31" s="7">
        <f t="shared" si="6"/>
        <v>0</v>
      </c>
      <c r="S31" s="6"/>
      <c r="T31" s="7">
        <f t="shared" si="7"/>
        <v>0</v>
      </c>
      <c r="U31" s="6">
        <v>13</v>
      </c>
      <c r="V31" s="7">
        <f t="shared" si="8"/>
        <v>122.72727272727273</v>
      </c>
      <c r="W31" s="6"/>
      <c r="X31" s="7">
        <f t="shared" si="16"/>
        <v>0</v>
      </c>
      <c r="Y31" s="6">
        <v>9</v>
      </c>
      <c r="Z31" s="7">
        <f t="shared" si="10"/>
        <v>36.363636363636367</v>
      </c>
      <c r="AA31" s="6"/>
      <c r="AB31" s="7">
        <f t="shared" si="11"/>
        <v>0</v>
      </c>
      <c r="AC31" s="8">
        <f t="shared" si="17"/>
        <v>196.59090909090909</v>
      </c>
      <c r="AD31" s="6">
        <f t="shared" si="12"/>
        <v>3</v>
      </c>
      <c r="AE31" s="6">
        <f t="shared" si="13"/>
        <v>21</v>
      </c>
      <c r="AF31" s="13">
        <f t="shared" si="14"/>
        <v>0.25</v>
      </c>
    </row>
    <row r="32" spans="1:32" x14ac:dyDescent="0.3">
      <c r="A32" s="5">
        <f t="shared" si="15"/>
        <v>22</v>
      </c>
      <c r="B32" s="6" t="s">
        <v>413</v>
      </c>
      <c r="C32" s="6" t="s">
        <v>192</v>
      </c>
      <c r="D32" s="6" t="s">
        <v>72</v>
      </c>
      <c r="E32" s="6"/>
      <c r="F32" s="7">
        <f t="shared" si="0"/>
        <v>0</v>
      </c>
      <c r="G32" s="6"/>
      <c r="H32" s="7">
        <f t="shared" si="1"/>
        <v>0</v>
      </c>
      <c r="I32" s="6">
        <v>16</v>
      </c>
      <c r="J32" s="7">
        <f>13/2</f>
        <v>6.5</v>
      </c>
      <c r="K32" s="6"/>
      <c r="L32" s="7">
        <f t="shared" si="3"/>
        <v>0</v>
      </c>
      <c r="M32" s="6"/>
      <c r="N32" s="7">
        <f t="shared" si="4"/>
        <v>0</v>
      </c>
      <c r="O32" s="6"/>
      <c r="P32" s="7">
        <f t="shared" si="5"/>
        <v>0</v>
      </c>
      <c r="Q32" s="6">
        <v>8</v>
      </c>
      <c r="R32" s="7">
        <f t="shared" si="6"/>
        <v>85.714285714285708</v>
      </c>
      <c r="S32" s="6"/>
      <c r="T32" s="7">
        <f t="shared" si="7"/>
        <v>0</v>
      </c>
      <c r="U32" s="6">
        <v>19</v>
      </c>
      <c r="V32" s="7">
        <f t="shared" si="8"/>
        <v>40.909090909090907</v>
      </c>
      <c r="W32" s="6">
        <v>135</v>
      </c>
      <c r="X32" s="17">
        <f t="shared" si="16"/>
        <v>17.857142857142858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7"/>
        <v>150.98051948051949</v>
      </c>
      <c r="AD32" s="6">
        <f t="shared" si="12"/>
        <v>4</v>
      </c>
      <c r="AE32" s="6">
        <f t="shared" si="13"/>
        <v>22</v>
      </c>
      <c r="AF32" s="13">
        <f t="shared" si="14"/>
        <v>0.33333333333333331</v>
      </c>
    </row>
    <row r="33" spans="1:32" x14ac:dyDescent="0.3">
      <c r="A33" s="5">
        <f t="shared" si="15"/>
        <v>23</v>
      </c>
      <c r="B33" s="6" t="s">
        <v>54</v>
      </c>
      <c r="C33" s="6" t="s">
        <v>55</v>
      </c>
      <c r="D33" s="6" t="s">
        <v>48</v>
      </c>
      <c r="E33" s="6">
        <v>14</v>
      </c>
      <c r="F33" s="7">
        <f t="shared" si="0"/>
        <v>66.666666666666671</v>
      </c>
      <c r="G33" s="6"/>
      <c r="H33" s="7">
        <f t="shared" si="1"/>
        <v>0</v>
      </c>
      <c r="I33" s="6"/>
      <c r="J33" s="7">
        <f t="shared" ref="J33:J45" si="18">IF(I33=0,,($I$9-I33)*$I$7*100/$I$9)</f>
        <v>0</v>
      </c>
      <c r="K33" s="6"/>
      <c r="L33" s="7">
        <f t="shared" si="3"/>
        <v>0</v>
      </c>
      <c r="M33" s="6">
        <v>137</v>
      </c>
      <c r="N33" s="7">
        <f t="shared" si="4"/>
        <v>63.694267515923563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6"/>
      <c r="V33" s="7">
        <f t="shared" si="8"/>
        <v>0</v>
      </c>
      <c r="W33" s="6"/>
      <c r="X33" s="7">
        <f t="shared" si="16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7"/>
        <v>130.36093418259023</v>
      </c>
      <c r="AD33" s="6">
        <f t="shared" si="12"/>
        <v>2</v>
      </c>
      <c r="AE33" s="6">
        <f t="shared" si="13"/>
        <v>23</v>
      </c>
      <c r="AF33" s="13">
        <f t="shared" si="14"/>
        <v>0.16666666666666666</v>
      </c>
    </row>
    <row r="34" spans="1:32" x14ac:dyDescent="0.3">
      <c r="A34" s="5">
        <f t="shared" si="15"/>
        <v>24</v>
      </c>
      <c r="B34" s="6" t="s">
        <v>428</v>
      </c>
      <c r="C34" s="6" t="s">
        <v>429</v>
      </c>
      <c r="D34" s="6" t="s">
        <v>401</v>
      </c>
      <c r="F34" s="7">
        <f t="shared" si="0"/>
        <v>0</v>
      </c>
      <c r="G34" s="15"/>
      <c r="H34" s="7">
        <f t="shared" si="1"/>
        <v>0</v>
      </c>
      <c r="I34" s="6">
        <v>14</v>
      </c>
      <c r="J34" s="7">
        <f t="shared" si="18"/>
        <v>25</v>
      </c>
      <c r="K34" s="6"/>
      <c r="L34" s="7">
        <f t="shared" si="3"/>
        <v>0</v>
      </c>
      <c r="M34" s="6"/>
      <c r="N34" s="7">
        <f t="shared" si="4"/>
        <v>0</v>
      </c>
      <c r="O34" s="6"/>
      <c r="P34" s="7">
        <f t="shared" si="5"/>
        <v>0</v>
      </c>
      <c r="Q34" s="6"/>
      <c r="R34" s="7">
        <f t="shared" si="6"/>
        <v>0</v>
      </c>
      <c r="S34" s="6"/>
      <c r="T34" s="7">
        <f t="shared" si="7"/>
        <v>0</v>
      </c>
      <c r="U34" s="6">
        <v>18</v>
      </c>
      <c r="V34" s="7">
        <f t="shared" si="8"/>
        <v>54.545454545454547</v>
      </c>
      <c r="W34" s="6"/>
      <c r="X34" s="7">
        <f t="shared" si="16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7"/>
        <v>79.545454545454547</v>
      </c>
      <c r="AD34" s="6">
        <f t="shared" si="12"/>
        <v>2</v>
      </c>
      <c r="AE34" s="6">
        <f t="shared" si="13"/>
        <v>24</v>
      </c>
      <c r="AF34" s="13">
        <f t="shared" si="14"/>
        <v>0.16666666666666666</v>
      </c>
    </row>
    <row r="35" spans="1:32" x14ac:dyDescent="0.3">
      <c r="A35" s="5">
        <f t="shared" si="15"/>
        <v>25</v>
      </c>
      <c r="B35" s="6" t="s">
        <v>83</v>
      </c>
      <c r="C35" s="6" t="s">
        <v>84</v>
      </c>
      <c r="D35" s="6" t="s">
        <v>58</v>
      </c>
      <c r="E35" s="6">
        <v>16</v>
      </c>
      <c r="F35" s="7">
        <f t="shared" si="0"/>
        <v>47.61904761904762</v>
      </c>
      <c r="G35" s="6"/>
      <c r="H35" s="7">
        <f t="shared" si="1"/>
        <v>0</v>
      </c>
      <c r="I35" s="6">
        <v>15</v>
      </c>
      <c r="J35" s="7">
        <f t="shared" si="18"/>
        <v>12.5</v>
      </c>
      <c r="K35" s="6"/>
      <c r="L35" s="7">
        <f t="shared" si="3"/>
        <v>0</v>
      </c>
      <c r="M35" s="6"/>
      <c r="N35" s="7">
        <f t="shared" si="4"/>
        <v>0</v>
      </c>
      <c r="O35" s="6"/>
      <c r="P35" s="7">
        <f t="shared" si="5"/>
        <v>0</v>
      </c>
      <c r="Q35" s="6"/>
      <c r="R35" s="7">
        <f t="shared" si="6"/>
        <v>0</v>
      </c>
      <c r="S35" s="6"/>
      <c r="T35" s="7">
        <f t="shared" si="7"/>
        <v>0</v>
      </c>
      <c r="U35" s="6">
        <v>21</v>
      </c>
      <c r="V35" s="7">
        <f t="shared" si="8"/>
        <v>13.636363636363637</v>
      </c>
      <c r="W35" s="6"/>
      <c r="X35" s="7">
        <f t="shared" si="16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7"/>
        <v>73.755411255411261</v>
      </c>
      <c r="AD35" s="6">
        <f t="shared" si="12"/>
        <v>3</v>
      </c>
      <c r="AE35" s="6">
        <f t="shared" si="13"/>
        <v>25</v>
      </c>
      <c r="AF35" s="13">
        <f t="shared" si="14"/>
        <v>0.25</v>
      </c>
    </row>
    <row r="36" spans="1:32" x14ac:dyDescent="0.3">
      <c r="A36" s="5">
        <f t="shared" si="15"/>
        <v>26</v>
      </c>
      <c r="B36" s="6" t="s">
        <v>526</v>
      </c>
      <c r="C36" s="6" t="s">
        <v>404</v>
      </c>
      <c r="D36" s="6" t="s">
        <v>527</v>
      </c>
      <c r="E36" s="6"/>
      <c r="F36" s="7">
        <f t="shared" si="0"/>
        <v>0</v>
      </c>
      <c r="G36" s="6"/>
      <c r="H36" s="7">
        <f t="shared" si="1"/>
        <v>0</v>
      </c>
      <c r="I36" s="6"/>
      <c r="J36" s="7">
        <f t="shared" si="18"/>
        <v>0</v>
      </c>
      <c r="K36" s="6"/>
      <c r="L36" s="7">
        <f t="shared" si="3"/>
        <v>0</v>
      </c>
      <c r="M36" s="6"/>
      <c r="N36" s="7">
        <f t="shared" si="4"/>
        <v>0</v>
      </c>
      <c r="O36" s="6"/>
      <c r="P36" s="7">
        <f t="shared" si="5"/>
        <v>0</v>
      </c>
      <c r="Q36" s="6">
        <v>9</v>
      </c>
      <c r="R36" s="7">
        <f t="shared" si="6"/>
        <v>71.428571428571431</v>
      </c>
      <c r="S36" s="6"/>
      <c r="T36" s="7">
        <f t="shared" si="7"/>
        <v>0</v>
      </c>
      <c r="U36" s="6"/>
      <c r="V36" s="7">
        <f t="shared" si="8"/>
        <v>0</v>
      </c>
      <c r="W36" s="6"/>
      <c r="X36" s="7">
        <f t="shared" si="16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7"/>
        <v>71.428571428571431</v>
      </c>
      <c r="AD36" s="6">
        <f t="shared" si="12"/>
        <v>1</v>
      </c>
      <c r="AE36" s="6">
        <f t="shared" si="13"/>
        <v>26</v>
      </c>
      <c r="AF36" s="13">
        <f t="shared" si="14"/>
        <v>8.3333333333333329E-2</v>
      </c>
    </row>
    <row r="37" spans="1:32" x14ac:dyDescent="0.3">
      <c r="A37" s="5">
        <f t="shared" si="15"/>
        <v>27</v>
      </c>
      <c r="B37" s="6" t="s">
        <v>343</v>
      </c>
      <c r="C37" s="6" t="s">
        <v>344</v>
      </c>
      <c r="D37" s="6" t="s">
        <v>345</v>
      </c>
      <c r="E37" s="6"/>
      <c r="F37" s="7">
        <f t="shared" si="0"/>
        <v>0</v>
      </c>
      <c r="G37" s="6">
        <v>119</v>
      </c>
      <c r="H37" s="7">
        <f t="shared" si="1"/>
        <v>59.25925925925926</v>
      </c>
      <c r="I37" s="6"/>
      <c r="J37" s="7">
        <f t="shared" si="18"/>
        <v>0</v>
      </c>
      <c r="K37" s="6"/>
      <c r="L37" s="7">
        <f t="shared" si="3"/>
        <v>0</v>
      </c>
      <c r="M37" s="6"/>
      <c r="N37" s="7">
        <f t="shared" si="4"/>
        <v>0</v>
      </c>
      <c r="O37" s="6"/>
      <c r="P37" s="7">
        <f t="shared" si="5"/>
        <v>0</v>
      </c>
      <c r="Q37" s="6"/>
      <c r="R37" s="7">
        <f t="shared" si="6"/>
        <v>0</v>
      </c>
      <c r="S37" s="6"/>
      <c r="T37" s="7">
        <f t="shared" si="7"/>
        <v>0</v>
      </c>
      <c r="U37" s="6"/>
      <c r="V37" s="7">
        <f t="shared" si="8"/>
        <v>0</v>
      </c>
      <c r="W37" s="6"/>
      <c r="X37" s="7">
        <f t="shared" si="16"/>
        <v>0</v>
      </c>
      <c r="Y37" s="6">
        <v>11</v>
      </c>
      <c r="Z37" s="7">
        <f>18/2</f>
        <v>9</v>
      </c>
      <c r="AA37" s="6"/>
      <c r="AB37" s="7">
        <f t="shared" si="11"/>
        <v>0</v>
      </c>
      <c r="AC37" s="8">
        <f t="shared" si="17"/>
        <v>68.259259259259267</v>
      </c>
      <c r="AD37" s="6">
        <f t="shared" si="12"/>
        <v>2</v>
      </c>
      <c r="AE37" s="6">
        <f t="shared" si="13"/>
        <v>27</v>
      </c>
      <c r="AF37" s="13">
        <f t="shared" si="14"/>
        <v>0.16666666666666666</v>
      </c>
    </row>
    <row r="38" spans="1:32" x14ac:dyDescent="0.3">
      <c r="A38" s="5">
        <f t="shared" si="15"/>
        <v>28</v>
      </c>
      <c r="B38" s="6" t="s">
        <v>528</v>
      </c>
      <c r="C38" s="6" t="s">
        <v>529</v>
      </c>
      <c r="D38" s="6" t="s">
        <v>72</v>
      </c>
      <c r="E38" s="6"/>
      <c r="F38" s="7">
        <f t="shared" si="0"/>
        <v>0</v>
      </c>
      <c r="G38" s="6"/>
      <c r="H38" s="7">
        <f t="shared" si="1"/>
        <v>0</v>
      </c>
      <c r="I38" s="6"/>
      <c r="J38" s="7">
        <f t="shared" si="18"/>
        <v>0</v>
      </c>
      <c r="K38" s="6"/>
      <c r="L38" s="7">
        <f t="shared" si="3"/>
        <v>0</v>
      </c>
      <c r="M38" s="6"/>
      <c r="N38" s="7">
        <f t="shared" si="4"/>
        <v>0</v>
      </c>
      <c r="O38" s="6"/>
      <c r="P38" s="7">
        <f t="shared" si="5"/>
        <v>0</v>
      </c>
      <c r="Q38" s="6">
        <v>10</v>
      </c>
      <c r="R38" s="7">
        <f t="shared" si="6"/>
        <v>57.142857142857146</v>
      </c>
      <c r="S38" s="6"/>
      <c r="T38" s="7">
        <f t="shared" si="7"/>
        <v>0</v>
      </c>
      <c r="U38" s="6"/>
      <c r="V38" s="7">
        <f t="shared" si="8"/>
        <v>0</v>
      </c>
      <c r="W38" s="6"/>
      <c r="X38" s="7">
        <f t="shared" si="16"/>
        <v>0</v>
      </c>
      <c r="Y38" s="6"/>
      <c r="Z38" s="7">
        <f t="shared" ref="Z38:Z45" si="19">IF(Y38=0,,($Y$9-Y38)*$Y$7*100/$Y$9)</f>
        <v>0</v>
      </c>
      <c r="AA38" s="6"/>
      <c r="AB38" s="7">
        <f t="shared" si="11"/>
        <v>0</v>
      </c>
      <c r="AC38" s="8">
        <f t="shared" si="17"/>
        <v>57.142857142857146</v>
      </c>
      <c r="AD38" s="6">
        <f t="shared" si="12"/>
        <v>1</v>
      </c>
      <c r="AE38" s="6">
        <f t="shared" si="13"/>
        <v>28</v>
      </c>
      <c r="AF38" s="13">
        <f t="shared" si="14"/>
        <v>8.3333333333333329E-2</v>
      </c>
    </row>
    <row r="39" spans="1:32" x14ac:dyDescent="0.3">
      <c r="A39" s="5">
        <f t="shared" si="15"/>
        <v>29</v>
      </c>
      <c r="B39" s="6" t="s">
        <v>211</v>
      </c>
      <c r="C39" s="6" t="s">
        <v>183</v>
      </c>
      <c r="D39" s="6" t="s">
        <v>221</v>
      </c>
      <c r="E39" s="6">
        <v>17</v>
      </c>
      <c r="F39" s="7">
        <f t="shared" si="0"/>
        <v>38.095238095238095</v>
      </c>
      <c r="G39" s="6"/>
      <c r="H39" s="7">
        <f t="shared" si="1"/>
        <v>0</v>
      </c>
      <c r="I39" s="6"/>
      <c r="J39" s="7">
        <f t="shared" si="18"/>
        <v>0</v>
      </c>
      <c r="K39" s="6"/>
      <c r="L39" s="7">
        <f t="shared" si="3"/>
        <v>0</v>
      </c>
      <c r="M39" s="6"/>
      <c r="N39" s="7">
        <f t="shared" si="4"/>
        <v>0</v>
      </c>
      <c r="O39" s="6"/>
      <c r="P39" s="7">
        <f t="shared" si="5"/>
        <v>0</v>
      </c>
      <c r="Q39" s="6"/>
      <c r="R39" s="7">
        <f t="shared" si="6"/>
        <v>0</v>
      </c>
      <c r="S39" s="6"/>
      <c r="T39" s="7">
        <f t="shared" si="7"/>
        <v>0</v>
      </c>
      <c r="U39" s="6"/>
      <c r="V39" s="7">
        <f t="shared" si="8"/>
        <v>0</v>
      </c>
      <c r="W39" s="6"/>
      <c r="X39" s="7">
        <f t="shared" si="16"/>
        <v>0</v>
      </c>
      <c r="Y39" s="6"/>
      <c r="Z39" s="7">
        <f t="shared" si="19"/>
        <v>0</v>
      </c>
      <c r="AA39" s="6"/>
      <c r="AB39" s="7">
        <f t="shared" si="11"/>
        <v>0</v>
      </c>
      <c r="AC39" s="8">
        <f t="shared" si="17"/>
        <v>38.095238095238095</v>
      </c>
      <c r="AD39" s="6">
        <f t="shared" si="12"/>
        <v>1</v>
      </c>
      <c r="AE39" s="6">
        <f t="shared" si="13"/>
        <v>29</v>
      </c>
      <c r="AF39" s="13">
        <f t="shared" si="14"/>
        <v>8.3333333333333329E-2</v>
      </c>
    </row>
    <row r="40" spans="1:32" x14ac:dyDescent="0.3">
      <c r="A40" s="5">
        <f t="shared" si="15"/>
        <v>30</v>
      </c>
      <c r="B40" s="6" t="s">
        <v>75</v>
      </c>
      <c r="C40" s="6" t="s">
        <v>76</v>
      </c>
      <c r="D40" s="6" t="s">
        <v>65</v>
      </c>
      <c r="E40" s="6">
        <v>18</v>
      </c>
      <c r="F40" s="7">
        <f t="shared" si="0"/>
        <v>28.571428571428573</v>
      </c>
      <c r="G40" s="6"/>
      <c r="H40" s="7">
        <f t="shared" si="1"/>
        <v>0</v>
      </c>
      <c r="I40" s="6"/>
      <c r="J40" s="7">
        <f t="shared" si="18"/>
        <v>0</v>
      </c>
      <c r="K40" s="6"/>
      <c r="L40" s="7">
        <f t="shared" si="3"/>
        <v>0</v>
      </c>
      <c r="M40" s="6"/>
      <c r="N40" s="7">
        <f t="shared" si="4"/>
        <v>0</v>
      </c>
      <c r="O40" s="6"/>
      <c r="P40" s="7">
        <f t="shared" si="5"/>
        <v>0</v>
      </c>
      <c r="Q40" s="6"/>
      <c r="R40" s="7">
        <f t="shared" si="6"/>
        <v>0</v>
      </c>
      <c r="S40" s="6"/>
      <c r="T40" s="7">
        <f t="shared" si="7"/>
        <v>0</v>
      </c>
      <c r="U40" s="6"/>
      <c r="V40" s="7">
        <f t="shared" si="8"/>
        <v>0</v>
      </c>
      <c r="W40" s="6"/>
      <c r="X40" s="7">
        <f t="shared" si="16"/>
        <v>0</v>
      </c>
      <c r="Y40" s="6"/>
      <c r="Z40" s="7">
        <f t="shared" si="19"/>
        <v>0</v>
      </c>
      <c r="AA40" s="6"/>
      <c r="AB40" s="7">
        <f t="shared" si="11"/>
        <v>0</v>
      </c>
      <c r="AC40" s="8">
        <f t="shared" si="17"/>
        <v>28.571428571428573</v>
      </c>
      <c r="AD40" s="6">
        <f t="shared" si="12"/>
        <v>1</v>
      </c>
      <c r="AE40" s="6">
        <f t="shared" si="13"/>
        <v>30</v>
      </c>
      <c r="AF40" s="13">
        <f t="shared" si="14"/>
        <v>8.3333333333333329E-2</v>
      </c>
    </row>
    <row r="41" spans="1:32" x14ac:dyDescent="0.3">
      <c r="A41" s="5">
        <f t="shared" si="15"/>
        <v>31</v>
      </c>
      <c r="B41" s="6" t="s">
        <v>530</v>
      </c>
      <c r="C41" s="6" t="s">
        <v>531</v>
      </c>
      <c r="D41" s="6" t="s">
        <v>72</v>
      </c>
      <c r="E41" s="6"/>
      <c r="F41" s="7">
        <f t="shared" si="0"/>
        <v>0</v>
      </c>
      <c r="G41" s="6"/>
      <c r="H41" s="7">
        <f t="shared" si="1"/>
        <v>0</v>
      </c>
      <c r="I41" s="6"/>
      <c r="J41" s="7">
        <f t="shared" si="18"/>
        <v>0</v>
      </c>
      <c r="K41" s="6"/>
      <c r="L41" s="7">
        <f t="shared" si="3"/>
        <v>0</v>
      </c>
      <c r="M41" s="6"/>
      <c r="N41" s="7">
        <f t="shared" si="4"/>
        <v>0</v>
      </c>
      <c r="O41" s="6"/>
      <c r="P41" s="7">
        <f t="shared" si="5"/>
        <v>0</v>
      </c>
      <c r="Q41" s="6">
        <v>12</v>
      </c>
      <c r="R41" s="7">
        <f t="shared" si="6"/>
        <v>28.571428571428573</v>
      </c>
      <c r="S41" s="6"/>
      <c r="T41" s="7">
        <f t="shared" si="7"/>
        <v>0</v>
      </c>
      <c r="U41" s="6"/>
      <c r="V41" s="7">
        <f t="shared" si="8"/>
        <v>0</v>
      </c>
      <c r="W41" s="6"/>
      <c r="X41" s="7">
        <f t="shared" si="16"/>
        <v>0</v>
      </c>
      <c r="Y41" s="6"/>
      <c r="Z41" s="7">
        <f t="shared" si="19"/>
        <v>0</v>
      </c>
      <c r="AA41" s="6"/>
      <c r="AB41" s="7">
        <f t="shared" si="11"/>
        <v>0</v>
      </c>
      <c r="AC41" s="8">
        <f t="shared" si="17"/>
        <v>28.571428571428573</v>
      </c>
      <c r="AD41" s="6">
        <f t="shared" si="12"/>
        <v>1</v>
      </c>
      <c r="AE41" s="6">
        <f t="shared" si="13"/>
        <v>31</v>
      </c>
      <c r="AF41" s="13">
        <f t="shared" si="14"/>
        <v>8.3333333333333329E-2</v>
      </c>
    </row>
    <row r="42" spans="1:32" x14ac:dyDescent="0.3">
      <c r="A42" s="5">
        <f t="shared" si="15"/>
        <v>32</v>
      </c>
      <c r="B42" s="6" t="s">
        <v>541</v>
      </c>
      <c r="C42" s="6" t="s">
        <v>502</v>
      </c>
      <c r="D42" s="6" t="s">
        <v>48</v>
      </c>
      <c r="E42" s="6"/>
      <c r="F42" s="7">
        <f t="shared" si="0"/>
        <v>0</v>
      </c>
      <c r="G42" s="6"/>
      <c r="H42" s="7">
        <f t="shared" si="1"/>
        <v>0</v>
      </c>
      <c r="I42" s="6"/>
      <c r="J42" s="7">
        <f t="shared" si="18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5"/>
        <v>0</v>
      </c>
      <c r="Q42" s="6"/>
      <c r="R42" s="7">
        <f t="shared" si="6"/>
        <v>0</v>
      </c>
      <c r="S42" s="6"/>
      <c r="T42" s="7">
        <f t="shared" si="7"/>
        <v>0</v>
      </c>
      <c r="U42" s="6">
        <v>20</v>
      </c>
      <c r="V42" s="7">
        <f t="shared" si="8"/>
        <v>27.272727272727273</v>
      </c>
      <c r="W42" s="6"/>
      <c r="X42" s="7">
        <f t="shared" si="16"/>
        <v>0</v>
      </c>
      <c r="Y42" s="6"/>
      <c r="Z42" s="7">
        <f t="shared" si="19"/>
        <v>0</v>
      </c>
      <c r="AA42" s="6"/>
      <c r="AB42" s="7">
        <f t="shared" si="11"/>
        <v>0</v>
      </c>
      <c r="AC42" s="8">
        <f t="shared" si="17"/>
        <v>27.272727272727273</v>
      </c>
      <c r="AD42" s="6">
        <f t="shared" si="12"/>
        <v>1</v>
      </c>
      <c r="AE42" s="6">
        <f t="shared" si="13"/>
        <v>32</v>
      </c>
      <c r="AF42" s="13">
        <f t="shared" si="14"/>
        <v>8.3333333333333329E-2</v>
      </c>
    </row>
    <row r="43" spans="1:32" x14ac:dyDescent="0.3">
      <c r="A43" s="5">
        <f t="shared" si="15"/>
        <v>33</v>
      </c>
      <c r="B43" s="6" t="s">
        <v>532</v>
      </c>
      <c r="C43" s="6" t="s">
        <v>404</v>
      </c>
      <c r="D43" s="6" t="s">
        <v>72</v>
      </c>
      <c r="E43" s="6"/>
      <c r="F43" s="7">
        <f t="shared" si="0"/>
        <v>0</v>
      </c>
      <c r="G43" s="6"/>
      <c r="H43" s="7">
        <f t="shared" si="1"/>
        <v>0</v>
      </c>
      <c r="I43" s="6"/>
      <c r="J43" s="7">
        <f t="shared" si="18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5"/>
        <v>0</v>
      </c>
      <c r="Q43" s="6">
        <v>13</v>
      </c>
      <c r="R43" s="7">
        <f t="shared" si="6"/>
        <v>14.285714285714286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6"/>
        <v>0</v>
      </c>
      <c r="Y43" s="6"/>
      <c r="Z43" s="7">
        <f t="shared" si="19"/>
        <v>0</v>
      </c>
      <c r="AA43" s="6"/>
      <c r="AB43" s="7">
        <f t="shared" si="11"/>
        <v>0</v>
      </c>
      <c r="AC43" s="8">
        <f t="shared" si="17"/>
        <v>14.285714285714286</v>
      </c>
      <c r="AD43" s="6">
        <f t="shared" si="12"/>
        <v>1</v>
      </c>
      <c r="AE43" s="6">
        <f t="shared" si="13"/>
        <v>33</v>
      </c>
      <c r="AF43" s="13">
        <f t="shared" si="14"/>
        <v>8.3333333333333329E-2</v>
      </c>
    </row>
    <row r="44" spans="1:32" x14ac:dyDescent="0.3">
      <c r="A44" s="5">
        <f t="shared" si="15"/>
        <v>34</v>
      </c>
      <c r="B44" s="6" t="s">
        <v>533</v>
      </c>
      <c r="C44" s="6" t="s">
        <v>454</v>
      </c>
      <c r="D44" s="6" t="s">
        <v>72</v>
      </c>
      <c r="E44" s="6"/>
      <c r="F44" s="7">
        <f t="shared" si="0"/>
        <v>0</v>
      </c>
      <c r="G44" s="6"/>
      <c r="H44" s="7">
        <f t="shared" si="1"/>
        <v>0</v>
      </c>
      <c r="I44" s="6"/>
      <c r="J44" s="7">
        <f t="shared" si="18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5"/>
        <v>0</v>
      </c>
      <c r="Q44" s="6">
        <v>14</v>
      </c>
      <c r="R44" s="7">
        <f>14/2</f>
        <v>7</v>
      </c>
      <c r="S44" s="6"/>
      <c r="T44" s="7">
        <f t="shared" si="7"/>
        <v>0</v>
      </c>
      <c r="U44" s="6">
        <v>22</v>
      </c>
      <c r="V44" s="7">
        <f>14/2</f>
        <v>7</v>
      </c>
      <c r="W44" s="6"/>
      <c r="X44" s="7">
        <f t="shared" si="16"/>
        <v>0</v>
      </c>
      <c r="Y44" s="6"/>
      <c r="Z44" s="7">
        <f t="shared" si="19"/>
        <v>0</v>
      </c>
      <c r="AA44" s="6"/>
      <c r="AB44" s="7">
        <f t="shared" si="11"/>
        <v>0</v>
      </c>
      <c r="AC44" s="8">
        <f t="shared" si="17"/>
        <v>14</v>
      </c>
      <c r="AD44" s="6">
        <f t="shared" si="12"/>
        <v>2</v>
      </c>
      <c r="AE44" s="6">
        <f t="shared" si="13"/>
        <v>34</v>
      </c>
      <c r="AF44" s="13">
        <f t="shared" si="14"/>
        <v>0.16666666666666666</v>
      </c>
    </row>
    <row r="45" spans="1:32" x14ac:dyDescent="0.3">
      <c r="A45" s="5">
        <f t="shared" si="15"/>
        <v>35</v>
      </c>
      <c r="B45" s="6" t="s">
        <v>212</v>
      </c>
      <c r="C45" s="6" t="s">
        <v>222</v>
      </c>
      <c r="D45" s="6" t="s">
        <v>221</v>
      </c>
      <c r="E45" s="6">
        <v>20</v>
      </c>
      <c r="F45" s="7">
        <f t="shared" si="0"/>
        <v>9.5238095238095237</v>
      </c>
      <c r="G45" s="6"/>
      <c r="H45" s="7">
        <f t="shared" si="1"/>
        <v>0</v>
      </c>
      <c r="I45" s="6"/>
      <c r="J45" s="7">
        <f t="shared" si="18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5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6"/>
        <v>0</v>
      </c>
      <c r="Y45" s="6"/>
      <c r="Z45" s="7">
        <f t="shared" si="19"/>
        <v>0</v>
      </c>
      <c r="AA45" s="6"/>
      <c r="AB45" s="7">
        <f t="shared" si="11"/>
        <v>0</v>
      </c>
      <c r="AC45" s="8">
        <f t="shared" si="17"/>
        <v>9.5238095238095237</v>
      </c>
      <c r="AD45" s="6">
        <f t="shared" si="12"/>
        <v>1</v>
      </c>
      <c r="AE45" s="6">
        <f t="shared" si="13"/>
        <v>35</v>
      </c>
      <c r="AF45" s="13">
        <f t="shared" si="14"/>
        <v>8.3333333333333329E-2</v>
      </c>
    </row>
    <row r="46" spans="1:32" x14ac:dyDescent="0.3">
      <c r="A46" s="27" t="s">
        <v>18</v>
      </c>
      <c r="B46" s="27"/>
      <c r="C46" s="28"/>
      <c r="E46">
        <f>COUNTA(E11:E45)</f>
        <v>21</v>
      </c>
      <c r="G46">
        <f>COUNTA(G11:G45)</f>
        <v>17</v>
      </c>
      <c r="I46">
        <f>COUNTA(I11:I45)</f>
        <v>16</v>
      </c>
      <c r="K46">
        <f>COUNTA(K11:K45)</f>
        <v>13</v>
      </c>
      <c r="M46">
        <f>COUNTA(M11:M45)</f>
        <v>16</v>
      </c>
      <c r="O46">
        <f>COUNTA(O11:O45)</f>
        <v>1</v>
      </c>
      <c r="Q46">
        <f>COUNTA(Q11:Q45)</f>
        <v>14</v>
      </c>
      <c r="S46">
        <f>COUNTA(S11:S45)</f>
        <v>13</v>
      </c>
      <c r="U46">
        <f>COUNTA(U11:U45)</f>
        <v>22</v>
      </c>
      <c r="W46">
        <f>COUNTA(W11:W45)</f>
        <v>16</v>
      </c>
      <c r="Y46">
        <f>COUNTA(Y11:Y45)</f>
        <v>8</v>
      </c>
      <c r="AA46">
        <f>COUNTA(AA11:AA45)</f>
        <v>15</v>
      </c>
    </row>
    <row r="47" spans="1:32" x14ac:dyDescent="0.3">
      <c r="A47" s="30" t="s">
        <v>35</v>
      </c>
      <c r="B47" s="30"/>
      <c r="C47" s="30"/>
      <c r="E47" s="12">
        <f>E46/$G$2</f>
        <v>0.6</v>
      </c>
      <c r="G47" s="12">
        <f>G46/$G$2</f>
        <v>0.48571428571428571</v>
      </c>
      <c r="I47" s="12">
        <f>I46/$G$2</f>
        <v>0.45714285714285713</v>
      </c>
      <c r="K47" s="12">
        <f>K46/$G$2</f>
        <v>0.37142857142857144</v>
      </c>
      <c r="M47" s="12">
        <f>M46/$G$2</f>
        <v>0.45714285714285713</v>
      </c>
      <c r="O47" s="12">
        <f>O46/$G$2</f>
        <v>2.8571428571428571E-2</v>
      </c>
      <c r="Q47" s="12">
        <f>Q46/$G$2</f>
        <v>0.4</v>
      </c>
      <c r="S47" s="12">
        <f>S46/$G$2</f>
        <v>0.37142857142857144</v>
      </c>
      <c r="U47" s="12">
        <f>U46/$G$2</f>
        <v>0.62857142857142856</v>
      </c>
      <c r="W47" s="12">
        <f>W46/$G$2</f>
        <v>0.45714285714285713</v>
      </c>
      <c r="Y47" s="12">
        <f>Y46/$G$2</f>
        <v>0.22857142857142856</v>
      </c>
      <c r="AA47" s="12">
        <f>AA46/$G$2</f>
        <v>0.42857142857142855</v>
      </c>
    </row>
  </sheetData>
  <sortState xmlns:xlrd2="http://schemas.microsoft.com/office/spreadsheetml/2017/richdata2" ref="A11:AF45">
    <sortCondition descending="1" ref="AC11:AC45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47"/>
  <sheetViews>
    <sheetView zoomScale="63" zoomScaleNormal="63" workbookViewId="0">
      <pane xSplit="3" ySplit="10" topLeftCell="I11" activePane="bottomRight" state="frozenSplit"/>
      <selection activeCell="F16" sqref="F16"/>
      <selection pane="topRight" activeCell="F16" sqref="F16"/>
      <selection pane="bottomLeft" activeCell="F16" sqref="F16"/>
      <selection pane="bottomRight" activeCell="B22" sqref="B22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4" max="4" width="21.6640625" hidden="1" customWidth="1"/>
    <col min="5" max="6" width="11.44140625" customWidth="1"/>
    <col min="7" max="7" width="9.109375" customWidth="1"/>
    <col min="8" max="8" width="9.33203125" customWidth="1"/>
    <col min="9" max="9" width="8.33203125" customWidth="1"/>
    <col min="10" max="10" width="10.88671875" customWidth="1"/>
    <col min="12" max="12" width="11.88671875" customWidth="1"/>
    <col min="14" max="14" width="16.33203125" customWidth="1"/>
    <col min="15" max="15" width="9.6640625" customWidth="1"/>
    <col min="16" max="16" width="7.44140625" customWidth="1"/>
    <col min="18" max="18" width="10.44140625" customWidth="1"/>
    <col min="19" max="19" width="11.44140625" customWidth="1"/>
    <col min="20" max="20" width="18.33203125" bestFit="1" customWidth="1"/>
    <col min="21" max="21" width="9.88671875" customWidth="1"/>
    <col min="22" max="22" width="12.44140625" customWidth="1"/>
    <col min="23" max="23" width="18.33203125" customWidth="1"/>
    <col min="24" max="24" width="27.6640625" customWidth="1"/>
    <col min="25" max="25" width="11.44140625" customWidth="1"/>
    <col min="26" max="26" width="20.88671875" customWidth="1"/>
    <col min="27" max="27" width="11.44140625" customWidth="1"/>
    <col min="28" max="28" width="16.33203125" customWidth="1"/>
    <col min="29" max="30" width="18.88671875" customWidth="1"/>
  </cols>
  <sheetData>
    <row r="1" spans="1:34" ht="31.2" x14ac:dyDescent="0.6">
      <c r="A1" s="25" t="s">
        <v>12</v>
      </c>
      <c r="B1" s="25"/>
      <c r="C1" s="25"/>
      <c r="D1" s="25"/>
      <c r="E1" s="25"/>
      <c r="F1" s="25"/>
      <c r="G1" s="25"/>
      <c r="H1" s="25"/>
    </row>
    <row r="2" spans="1:34" x14ac:dyDescent="0.3">
      <c r="E2" s="31" t="s">
        <v>31</v>
      </c>
      <c r="F2" s="31"/>
      <c r="G2" s="11">
        <f>COUNTA(B11:B45)</f>
        <v>23</v>
      </c>
    </row>
    <row r="3" spans="1:34" x14ac:dyDescent="0.3">
      <c r="E3" s="31" t="s">
        <v>33</v>
      </c>
      <c r="F3" s="31"/>
      <c r="G3" s="11">
        <f>COUNTA(E8:AD8)</f>
        <v>13</v>
      </c>
    </row>
    <row r="4" spans="1:34" x14ac:dyDescent="0.3">
      <c r="A4" s="9"/>
      <c r="B4" s="10" t="s">
        <v>23</v>
      </c>
      <c r="C4" s="3"/>
    </row>
    <row r="6" spans="1:34" x14ac:dyDescent="0.3">
      <c r="D6" s="1" t="s">
        <v>0</v>
      </c>
      <c r="E6" s="26" t="s">
        <v>247</v>
      </c>
      <c r="F6" s="26"/>
      <c r="G6" s="26" t="s">
        <v>233</v>
      </c>
      <c r="H6" s="26"/>
      <c r="I6" s="26" t="s">
        <v>438</v>
      </c>
      <c r="J6" s="26"/>
      <c r="K6" s="26" t="s">
        <v>231</v>
      </c>
      <c r="L6" s="26"/>
      <c r="M6" s="26" t="s">
        <v>540</v>
      </c>
      <c r="N6" s="26"/>
      <c r="O6" s="26" t="s">
        <v>463</v>
      </c>
      <c r="P6" s="26"/>
      <c r="Q6" s="26" t="s">
        <v>39</v>
      </c>
      <c r="R6" s="26"/>
      <c r="S6" s="26" t="s">
        <v>41</v>
      </c>
      <c r="T6" s="26"/>
      <c r="U6" s="26" t="s">
        <v>248</v>
      </c>
      <c r="V6" s="26"/>
      <c r="W6" s="26" t="s">
        <v>19</v>
      </c>
      <c r="X6" s="26"/>
      <c r="Y6" s="26" t="s">
        <v>250</v>
      </c>
      <c r="Z6" s="26"/>
      <c r="AA6" s="26" t="s">
        <v>249</v>
      </c>
      <c r="AB6" s="26"/>
      <c r="AC6" s="26" t="s">
        <v>251</v>
      </c>
      <c r="AD6" s="26"/>
    </row>
    <row r="7" spans="1:34" x14ac:dyDescent="0.3">
      <c r="D7" s="1" t="s">
        <v>10</v>
      </c>
      <c r="E7" s="23">
        <v>2</v>
      </c>
      <c r="F7" s="24"/>
      <c r="G7" s="23">
        <v>5</v>
      </c>
      <c r="H7" s="24"/>
      <c r="I7" s="23">
        <v>6</v>
      </c>
      <c r="J7" s="24"/>
      <c r="K7" s="23">
        <v>2</v>
      </c>
      <c r="L7" s="24"/>
      <c r="M7" s="23">
        <v>2</v>
      </c>
      <c r="N7" s="24"/>
      <c r="O7" s="23">
        <v>6</v>
      </c>
      <c r="P7" s="24"/>
      <c r="Q7" s="23">
        <v>5</v>
      </c>
      <c r="R7" s="24"/>
      <c r="S7" s="23">
        <v>2</v>
      </c>
      <c r="T7" s="24"/>
      <c r="U7" s="23">
        <v>5</v>
      </c>
      <c r="V7" s="24"/>
      <c r="W7" s="23">
        <v>3</v>
      </c>
      <c r="X7" s="24"/>
      <c r="Y7" s="23">
        <v>5</v>
      </c>
      <c r="Z7" s="24"/>
      <c r="AA7" s="23">
        <v>2</v>
      </c>
      <c r="AB7" s="24"/>
      <c r="AC7" s="23">
        <v>6</v>
      </c>
      <c r="AD7" s="24"/>
    </row>
    <row r="8" spans="1:34" x14ac:dyDescent="0.3">
      <c r="D8" s="1" t="s">
        <v>1</v>
      </c>
      <c r="E8" s="29">
        <v>45571</v>
      </c>
      <c r="F8" s="29"/>
      <c r="G8" s="29">
        <v>45586</v>
      </c>
      <c r="H8" s="29"/>
      <c r="I8" s="29">
        <v>45607</v>
      </c>
      <c r="J8" s="29"/>
      <c r="K8" s="29">
        <v>45607</v>
      </c>
      <c r="L8" s="29"/>
      <c r="M8" s="29">
        <v>45612</v>
      </c>
      <c r="N8" s="29"/>
      <c r="O8" s="29">
        <v>45633</v>
      </c>
      <c r="P8" s="29"/>
      <c r="Q8" s="29">
        <v>45620</v>
      </c>
      <c r="R8" s="29"/>
      <c r="S8" s="29">
        <v>45682</v>
      </c>
      <c r="T8" s="29"/>
      <c r="U8" s="29">
        <v>45697</v>
      </c>
      <c r="V8" s="29"/>
      <c r="W8" s="29">
        <v>45725</v>
      </c>
      <c r="X8" s="29"/>
      <c r="Y8" s="29">
        <v>45738</v>
      </c>
      <c r="Z8" s="29"/>
      <c r="AA8" s="29">
        <v>45773</v>
      </c>
      <c r="AB8" s="29"/>
      <c r="AC8" s="29">
        <v>45430</v>
      </c>
      <c r="AD8" s="29"/>
      <c r="AF8" s="11"/>
    </row>
    <row r="9" spans="1:34" x14ac:dyDescent="0.3">
      <c r="D9" s="1" t="s">
        <v>2</v>
      </c>
      <c r="E9" s="26">
        <v>14</v>
      </c>
      <c r="F9" s="26"/>
      <c r="G9" s="26">
        <v>83</v>
      </c>
      <c r="H9" s="26"/>
      <c r="I9" s="26">
        <v>158</v>
      </c>
      <c r="J9" s="26"/>
      <c r="K9" s="26">
        <v>9</v>
      </c>
      <c r="L9" s="26"/>
      <c r="M9" s="26">
        <v>22</v>
      </c>
      <c r="N9" s="26"/>
      <c r="O9" s="26">
        <v>205</v>
      </c>
      <c r="P9" s="26"/>
      <c r="Q9" s="26">
        <v>88</v>
      </c>
      <c r="R9" s="26"/>
      <c r="S9" s="26">
        <v>8</v>
      </c>
      <c r="T9" s="26"/>
      <c r="U9" s="26">
        <v>84</v>
      </c>
      <c r="V9" s="26"/>
      <c r="W9" s="26">
        <v>16</v>
      </c>
      <c r="X9" s="26"/>
      <c r="Y9" s="26">
        <v>90</v>
      </c>
      <c r="Z9" s="26"/>
      <c r="AA9" s="26">
        <v>8</v>
      </c>
      <c r="AB9" s="26"/>
      <c r="AC9" s="26">
        <f>36+52</f>
        <v>88</v>
      </c>
      <c r="AD9" s="26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34</v>
      </c>
      <c r="AG10" s="1" t="s">
        <v>9</v>
      </c>
      <c r="AH10" s="1" t="s">
        <v>36</v>
      </c>
    </row>
    <row r="11" spans="1:34" x14ac:dyDescent="0.3">
      <c r="A11" s="5">
        <f t="shared" ref="A11:A33" si="0">AG11</f>
        <v>1</v>
      </c>
      <c r="B11" s="6" t="s">
        <v>110</v>
      </c>
      <c r="C11" s="6" t="s">
        <v>111</v>
      </c>
      <c r="D11" s="6" t="s">
        <v>65</v>
      </c>
      <c r="E11" s="6">
        <v>1</v>
      </c>
      <c r="F11" s="7">
        <f t="shared" ref="F11:F32" si="1">IF(E11=0,,($E$9-E11)*$E$7*100/$E$9)</f>
        <v>185.71428571428572</v>
      </c>
      <c r="G11" s="6">
        <v>10</v>
      </c>
      <c r="H11" s="17">
        <f t="shared" ref="H11:H33" si="2">IF(G11=0,,($G$9-G11)*$G$7*100/$G$9)</f>
        <v>439.75903614457832</v>
      </c>
      <c r="I11" s="6">
        <v>118</v>
      </c>
      <c r="J11" s="7">
        <f>IF(I11=0,,($I$9-I11)*$I$7*100/$I$9)</f>
        <v>151.8987341772152</v>
      </c>
      <c r="K11" s="6"/>
      <c r="L11" s="7">
        <f t="shared" ref="L11:L30" si="3">IF(K11=0,,($K$9-K11)*$K$7*100/$K$9)</f>
        <v>0</v>
      </c>
      <c r="M11" s="6"/>
      <c r="N11" s="7">
        <f t="shared" ref="N11:N33" si="4">IF(M11=0,,($M$9-M11)*$M$7*100/$M$9)</f>
        <v>0</v>
      </c>
      <c r="O11" s="6">
        <v>130</v>
      </c>
      <c r="P11" s="7">
        <f t="shared" ref="P11:P33" si="5">IF(O11=0,,($O$9-O11)*$O$7*100/$O$9)</f>
        <v>219.51219512195121</v>
      </c>
      <c r="Q11" s="6">
        <v>15</v>
      </c>
      <c r="R11" s="17">
        <f t="shared" ref="R11:R33" si="6">IF(Q11=0,,($Q$9-Q11)*$Q$7*100/$Q$9)</f>
        <v>414.77272727272725</v>
      </c>
      <c r="S11" s="6"/>
      <c r="T11" s="7">
        <f t="shared" ref="T11:T31" si="7">IF(S11=0,,($S$9-S11)*$S$7*100/$S$9)</f>
        <v>0</v>
      </c>
      <c r="U11" s="6">
        <v>40</v>
      </c>
      <c r="V11" s="7">
        <f t="shared" ref="V11:V33" si="8">IF(U11=0,,($U$9-U11)*$U$7*100/$U$9)</f>
        <v>261.90476190476193</v>
      </c>
      <c r="W11" s="6">
        <v>1</v>
      </c>
      <c r="X11" s="17">
        <f t="shared" ref="X11:X28" si="9">IF(W11=0,,($W$9-W11)*$W$7*100/$W$9)</f>
        <v>281.25</v>
      </c>
      <c r="Y11" s="6">
        <v>51</v>
      </c>
      <c r="Z11" s="7">
        <f t="shared" ref="Z11:Z23" si="10">IF(Y11=0,,($Y$9-Y11)*$Y$7*100/$Y$9)</f>
        <v>216.66666666666666</v>
      </c>
      <c r="AA11" s="6">
        <v>3</v>
      </c>
      <c r="AB11" s="7">
        <f t="shared" ref="AB11:AB30" si="11">IF(AA11=0,,($AA$9-AA11)*$AA$7*100/$AA$9)</f>
        <v>125</v>
      </c>
      <c r="AC11" s="6">
        <v>29</v>
      </c>
      <c r="AD11" s="17">
        <f t="shared" ref="AD11:AD33" si="12">IF(AC11=0,,($AC$9-AC11)*$AC$7*100/$AC$9)</f>
        <v>402.27272727272725</v>
      </c>
      <c r="AE11" s="8">
        <f>AD11+R11+X11+H11</f>
        <v>1538.0544906900327</v>
      </c>
      <c r="AF11" s="6">
        <f t="shared" ref="AF11:AF33" si="13">COUNTA(AC11,AA11,Y11,W11,U11,S11,Q11,K11,M11,G11,E11,I11,O11)</f>
        <v>10</v>
      </c>
      <c r="AG11" s="6">
        <f t="shared" ref="AG11:AG33" si="14">ROW(B11)-10</f>
        <v>1</v>
      </c>
      <c r="AH11" s="13">
        <f t="shared" ref="AH11:AH33" si="15">AF11/$G$3</f>
        <v>0.76923076923076927</v>
      </c>
    </row>
    <row r="12" spans="1:34" x14ac:dyDescent="0.3">
      <c r="A12" s="5">
        <f t="shared" si="0"/>
        <v>2</v>
      </c>
      <c r="B12" s="6" t="s">
        <v>223</v>
      </c>
      <c r="C12" s="6" t="s">
        <v>227</v>
      </c>
      <c r="D12" s="6" t="s">
        <v>65</v>
      </c>
      <c r="E12" s="6">
        <v>2</v>
      </c>
      <c r="F12" s="7">
        <f t="shared" si="1"/>
        <v>171.42857142857142</v>
      </c>
      <c r="G12" s="6">
        <v>44</v>
      </c>
      <c r="H12" s="17">
        <f t="shared" si="2"/>
        <v>234.93975903614458</v>
      </c>
      <c r="I12" s="6"/>
      <c r="J12" s="7">
        <f t="shared" ref="J12:J33" si="16">IF(I12=0,,($K$9-I12)*$K$7*100/$K$9)</f>
        <v>0</v>
      </c>
      <c r="K12" s="6">
        <v>1</v>
      </c>
      <c r="L12" s="7">
        <f t="shared" si="3"/>
        <v>177.77777777777777</v>
      </c>
      <c r="M12" s="6"/>
      <c r="N12" s="7">
        <f t="shared" si="4"/>
        <v>0</v>
      </c>
      <c r="O12" s="6"/>
      <c r="P12" s="7">
        <f t="shared" si="5"/>
        <v>0</v>
      </c>
      <c r="Q12" s="6">
        <v>42</v>
      </c>
      <c r="R12" s="17">
        <f t="shared" si="6"/>
        <v>261.36363636363637</v>
      </c>
      <c r="S12" s="6">
        <v>1</v>
      </c>
      <c r="T12" s="7">
        <f t="shared" si="7"/>
        <v>175</v>
      </c>
      <c r="U12" s="6">
        <v>36</v>
      </c>
      <c r="V12" s="17">
        <f t="shared" si="8"/>
        <v>285.71428571428572</v>
      </c>
      <c r="W12" s="6">
        <v>8</v>
      </c>
      <c r="X12" s="7">
        <f t="shared" si="9"/>
        <v>150</v>
      </c>
      <c r="Y12" s="6">
        <v>36</v>
      </c>
      <c r="Z12" s="17">
        <f t="shared" si="10"/>
        <v>300</v>
      </c>
      <c r="AA12" s="6">
        <v>3</v>
      </c>
      <c r="AB12" s="7">
        <f t="shared" si="11"/>
        <v>125</v>
      </c>
      <c r="AC12" s="6">
        <v>36</v>
      </c>
      <c r="AD12" s="17">
        <f t="shared" si="12"/>
        <v>354.54545454545456</v>
      </c>
      <c r="AE12" s="8">
        <f>AD12+Z12+V12+R12</f>
        <v>1201.6233766233768</v>
      </c>
      <c r="AF12" s="6">
        <f t="shared" si="13"/>
        <v>10</v>
      </c>
      <c r="AG12" s="6">
        <f t="shared" si="14"/>
        <v>2</v>
      </c>
      <c r="AH12" s="13">
        <f t="shared" si="15"/>
        <v>0.76923076923076927</v>
      </c>
    </row>
    <row r="13" spans="1:34" x14ac:dyDescent="0.3">
      <c r="A13" s="5">
        <f t="shared" si="0"/>
        <v>3</v>
      </c>
      <c r="B13" s="6" t="s">
        <v>431</v>
      </c>
      <c r="C13" s="6" t="s">
        <v>432</v>
      </c>
      <c r="D13" s="6" t="s">
        <v>420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16"/>
        <v>0</v>
      </c>
      <c r="K13" s="6"/>
      <c r="L13" s="7">
        <f t="shared" si="3"/>
        <v>0</v>
      </c>
      <c r="M13" s="6">
        <v>10</v>
      </c>
      <c r="N13" s="7">
        <f t="shared" si="4"/>
        <v>109.09090909090909</v>
      </c>
      <c r="O13" s="6"/>
      <c r="P13" s="7">
        <f t="shared" si="5"/>
        <v>0</v>
      </c>
      <c r="Q13" s="6">
        <v>61</v>
      </c>
      <c r="R13" s="7">
        <f t="shared" si="6"/>
        <v>153.40909090909091</v>
      </c>
      <c r="S13" s="6"/>
      <c r="T13" s="7">
        <f t="shared" si="7"/>
        <v>0</v>
      </c>
      <c r="U13" s="6">
        <v>32</v>
      </c>
      <c r="V13" s="17">
        <f t="shared" si="8"/>
        <v>309.52380952380952</v>
      </c>
      <c r="W13" s="6">
        <v>5</v>
      </c>
      <c r="X13" s="17">
        <f t="shared" si="9"/>
        <v>206.25</v>
      </c>
      <c r="Y13" s="6">
        <v>31</v>
      </c>
      <c r="Z13" s="17">
        <f t="shared" si="10"/>
        <v>327.77777777777777</v>
      </c>
      <c r="AA13" s="6"/>
      <c r="AB13" s="7">
        <f t="shared" si="11"/>
        <v>0</v>
      </c>
      <c r="AC13" s="6">
        <f>36+6</f>
        <v>42</v>
      </c>
      <c r="AD13" s="17">
        <f t="shared" si="12"/>
        <v>313.63636363636363</v>
      </c>
      <c r="AE13" s="8">
        <f>Z13+X13+V13+AD13</f>
        <v>1157.187950937951</v>
      </c>
      <c r="AF13" s="6">
        <f t="shared" si="13"/>
        <v>6</v>
      </c>
      <c r="AG13" s="6">
        <f t="shared" si="14"/>
        <v>3</v>
      </c>
      <c r="AH13" s="13">
        <f t="shared" si="15"/>
        <v>0.46153846153846156</v>
      </c>
    </row>
    <row r="14" spans="1:34" x14ac:dyDescent="0.3">
      <c r="A14" s="5">
        <f t="shared" si="0"/>
        <v>4</v>
      </c>
      <c r="B14" s="6" t="s">
        <v>108</v>
      </c>
      <c r="C14" s="6" t="s">
        <v>109</v>
      </c>
      <c r="D14" s="6" t="s">
        <v>65</v>
      </c>
      <c r="E14" s="6">
        <v>5</v>
      </c>
      <c r="F14" s="7">
        <f t="shared" si="1"/>
        <v>128.57142857142858</v>
      </c>
      <c r="G14" s="6">
        <v>41</v>
      </c>
      <c r="H14" s="17">
        <f t="shared" si="2"/>
        <v>253.01204819277109</v>
      </c>
      <c r="I14" s="6"/>
      <c r="J14" s="7">
        <f t="shared" si="16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6">
        <v>27</v>
      </c>
      <c r="R14" s="17">
        <f t="shared" si="6"/>
        <v>346.59090909090907</v>
      </c>
      <c r="S14" s="6"/>
      <c r="T14" s="7">
        <f t="shared" si="7"/>
        <v>0</v>
      </c>
      <c r="U14" s="6">
        <v>77</v>
      </c>
      <c r="V14" s="7">
        <f t="shared" si="8"/>
        <v>41.666666666666664</v>
      </c>
      <c r="W14" s="6">
        <v>2</v>
      </c>
      <c r="X14" s="17">
        <f t="shared" si="9"/>
        <v>262.5</v>
      </c>
      <c r="Y14" s="6">
        <v>57</v>
      </c>
      <c r="Z14" s="7">
        <f t="shared" si="10"/>
        <v>183.33333333333334</v>
      </c>
      <c r="AA14" s="6">
        <v>5</v>
      </c>
      <c r="AB14" s="7">
        <f t="shared" si="11"/>
        <v>75</v>
      </c>
      <c r="AC14" s="6">
        <f>36+22</f>
        <v>58</v>
      </c>
      <c r="AD14" s="17">
        <f t="shared" si="12"/>
        <v>204.54545454545453</v>
      </c>
      <c r="AE14" s="8">
        <f>X14+R14+H14+AD14</f>
        <v>1066.6484118291346</v>
      </c>
      <c r="AF14" s="6">
        <f t="shared" si="13"/>
        <v>8</v>
      </c>
      <c r="AG14" s="6">
        <f t="shared" si="14"/>
        <v>4</v>
      </c>
      <c r="AH14" s="13">
        <f t="shared" si="15"/>
        <v>0.61538461538461542</v>
      </c>
    </row>
    <row r="15" spans="1:34" x14ac:dyDescent="0.3">
      <c r="A15" s="5">
        <f t="shared" si="0"/>
        <v>5</v>
      </c>
      <c r="B15" s="6" t="s">
        <v>104</v>
      </c>
      <c r="C15" s="6" t="s">
        <v>105</v>
      </c>
      <c r="D15" s="6" t="s">
        <v>49</v>
      </c>
      <c r="E15" s="6">
        <v>3</v>
      </c>
      <c r="F15" s="7">
        <f t="shared" si="1"/>
        <v>157.14285714285714</v>
      </c>
      <c r="G15" s="6">
        <v>58</v>
      </c>
      <c r="H15" s="7">
        <f t="shared" si="2"/>
        <v>150.60240963855421</v>
      </c>
      <c r="I15" s="6"/>
      <c r="J15" s="7">
        <f t="shared" si="16"/>
        <v>0</v>
      </c>
      <c r="K15" s="6">
        <v>3</v>
      </c>
      <c r="L15" s="7">
        <f t="shared" si="3"/>
        <v>133.33333333333334</v>
      </c>
      <c r="M15" s="6">
        <v>4</v>
      </c>
      <c r="N15" s="7">
        <f t="shared" si="4"/>
        <v>163.63636363636363</v>
      </c>
      <c r="O15" s="6"/>
      <c r="P15" s="7">
        <f t="shared" si="5"/>
        <v>0</v>
      </c>
      <c r="Q15" s="6">
        <v>47</v>
      </c>
      <c r="R15" s="7">
        <f t="shared" si="6"/>
        <v>232.95454545454547</v>
      </c>
      <c r="S15" s="6">
        <v>3</v>
      </c>
      <c r="T15" s="7">
        <f t="shared" si="7"/>
        <v>125</v>
      </c>
      <c r="U15" s="6">
        <v>38</v>
      </c>
      <c r="V15" s="17">
        <f t="shared" si="8"/>
        <v>273.8095238095238</v>
      </c>
      <c r="W15" s="6">
        <v>3</v>
      </c>
      <c r="X15" s="17">
        <f t="shared" si="9"/>
        <v>243.75</v>
      </c>
      <c r="Y15" s="6">
        <v>42</v>
      </c>
      <c r="Z15" s="17">
        <f t="shared" si="10"/>
        <v>266.66666666666669</v>
      </c>
      <c r="AA15" s="6">
        <v>2</v>
      </c>
      <c r="AB15" s="7">
        <f t="shared" si="11"/>
        <v>150</v>
      </c>
      <c r="AC15" s="6">
        <f>36+15</f>
        <v>51</v>
      </c>
      <c r="AD15" s="17">
        <f t="shared" si="12"/>
        <v>252.27272727272728</v>
      </c>
      <c r="AE15" s="8">
        <f>V15+AD15+Z15+X15</f>
        <v>1036.4989177489178</v>
      </c>
      <c r="AF15" s="6">
        <f t="shared" si="13"/>
        <v>11</v>
      </c>
      <c r="AG15" s="6">
        <f t="shared" si="14"/>
        <v>5</v>
      </c>
      <c r="AH15" s="13">
        <f t="shared" si="15"/>
        <v>0.84615384615384615</v>
      </c>
    </row>
    <row r="16" spans="1:34" x14ac:dyDescent="0.3">
      <c r="A16" s="5">
        <f t="shared" si="0"/>
        <v>6</v>
      </c>
      <c r="B16" s="6" t="s">
        <v>93</v>
      </c>
      <c r="C16" s="6" t="s">
        <v>94</v>
      </c>
      <c r="D16" s="6" t="s">
        <v>65</v>
      </c>
      <c r="E16" s="6">
        <v>12</v>
      </c>
      <c r="F16" s="7">
        <f t="shared" si="1"/>
        <v>28.571428571428573</v>
      </c>
      <c r="G16" s="6">
        <v>70</v>
      </c>
      <c r="H16" s="7">
        <f t="shared" si="2"/>
        <v>78.313253012048193</v>
      </c>
      <c r="I16" s="6"/>
      <c r="J16" s="7">
        <f t="shared" si="16"/>
        <v>0</v>
      </c>
      <c r="K16" s="6"/>
      <c r="L16" s="7">
        <f t="shared" si="3"/>
        <v>0</v>
      </c>
      <c r="M16" s="6">
        <v>7</v>
      </c>
      <c r="N16" s="17">
        <f t="shared" si="4"/>
        <v>136.36363636363637</v>
      </c>
      <c r="O16" s="6">
        <v>202</v>
      </c>
      <c r="P16" s="7">
        <f t="shared" si="5"/>
        <v>8.7804878048780495</v>
      </c>
      <c r="Q16" s="6">
        <v>16</v>
      </c>
      <c r="R16" s="17">
        <f t="shared" si="6"/>
        <v>409.09090909090907</v>
      </c>
      <c r="S16" s="6"/>
      <c r="T16" s="7">
        <f t="shared" si="7"/>
        <v>0</v>
      </c>
      <c r="U16" s="6">
        <v>69</v>
      </c>
      <c r="V16" s="7">
        <f t="shared" si="8"/>
        <v>89.285714285714292</v>
      </c>
      <c r="W16" s="6">
        <v>9</v>
      </c>
      <c r="X16" s="17">
        <f t="shared" si="9"/>
        <v>131.25</v>
      </c>
      <c r="Y16" s="6">
        <v>47</v>
      </c>
      <c r="Z16" s="17">
        <f t="shared" si="10"/>
        <v>238.88888888888889</v>
      </c>
      <c r="AA16" s="6"/>
      <c r="AB16" s="7">
        <f t="shared" si="11"/>
        <v>0</v>
      </c>
      <c r="AC16" s="6">
        <f>36+39</f>
        <v>75</v>
      </c>
      <c r="AD16" s="7">
        <f t="shared" si="12"/>
        <v>88.63636363636364</v>
      </c>
      <c r="AE16" s="8">
        <f>Z16+R16+N16+X16</f>
        <v>915.5934343434343</v>
      </c>
      <c r="AF16" s="6">
        <f t="shared" si="13"/>
        <v>9</v>
      </c>
      <c r="AG16" s="6">
        <f t="shared" si="14"/>
        <v>6</v>
      </c>
      <c r="AH16" s="13">
        <f t="shared" si="15"/>
        <v>0.69230769230769229</v>
      </c>
    </row>
    <row r="17" spans="1:34" x14ac:dyDescent="0.3">
      <c r="A17" s="5">
        <f t="shared" si="0"/>
        <v>7</v>
      </c>
      <c r="B17" s="6" t="s">
        <v>311</v>
      </c>
      <c r="C17" s="6" t="s">
        <v>437</v>
      </c>
      <c r="D17" s="6" t="s">
        <v>420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16"/>
        <v>0</v>
      </c>
      <c r="K17" s="6"/>
      <c r="L17" s="7">
        <f t="shared" si="3"/>
        <v>0</v>
      </c>
      <c r="M17" s="6">
        <v>2</v>
      </c>
      <c r="N17" s="17">
        <f t="shared" si="4"/>
        <v>181.81818181818181</v>
      </c>
      <c r="O17" s="6"/>
      <c r="P17" s="7">
        <f t="shared" si="5"/>
        <v>0</v>
      </c>
      <c r="Q17" s="6">
        <v>71</v>
      </c>
      <c r="R17" s="7">
        <f t="shared" si="6"/>
        <v>96.590909090909093</v>
      </c>
      <c r="S17" s="6"/>
      <c r="T17" s="7">
        <f t="shared" si="7"/>
        <v>0</v>
      </c>
      <c r="U17" s="6">
        <v>28</v>
      </c>
      <c r="V17" s="17">
        <f t="shared" si="8"/>
        <v>333.33333333333331</v>
      </c>
      <c r="W17" s="6">
        <v>5</v>
      </c>
      <c r="X17" s="17">
        <f t="shared" si="9"/>
        <v>206.25</v>
      </c>
      <c r="Y17" s="6">
        <v>62</v>
      </c>
      <c r="Z17" s="17">
        <f t="shared" si="10"/>
        <v>155.55555555555554</v>
      </c>
      <c r="AA17" s="6"/>
      <c r="AB17" s="7">
        <f t="shared" si="11"/>
        <v>0</v>
      </c>
      <c r="AC17" s="6">
        <f>36+36</f>
        <v>72</v>
      </c>
      <c r="AD17" s="7">
        <f t="shared" si="12"/>
        <v>109.09090909090909</v>
      </c>
      <c r="AE17" s="8">
        <f>Z17+X17+V17+N17</f>
        <v>876.95707070707067</v>
      </c>
      <c r="AF17" s="6">
        <f t="shared" si="13"/>
        <v>6</v>
      </c>
      <c r="AG17" s="6">
        <f t="shared" si="14"/>
        <v>7</v>
      </c>
      <c r="AH17" s="13">
        <f t="shared" si="15"/>
        <v>0.46153846153846156</v>
      </c>
    </row>
    <row r="18" spans="1:34" x14ac:dyDescent="0.3">
      <c r="A18" s="5">
        <f t="shared" si="0"/>
        <v>8</v>
      </c>
      <c r="B18" s="6" t="s">
        <v>240</v>
      </c>
      <c r="C18" s="6" t="s">
        <v>103</v>
      </c>
      <c r="D18" s="6" t="s">
        <v>72</v>
      </c>
      <c r="E18" s="6">
        <v>11</v>
      </c>
      <c r="F18" s="7">
        <f t="shared" si="1"/>
        <v>42.857142857142854</v>
      </c>
      <c r="G18" s="6">
        <v>75</v>
      </c>
      <c r="H18" s="7">
        <f t="shared" si="2"/>
        <v>48.192771084337352</v>
      </c>
      <c r="I18" s="6"/>
      <c r="J18" s="7">
        <f t="shared" si="16"/>
        <v>0</v>
      </c>
      <c r="K18" s="6">
        <v>3</v>
      </c>
      <c r="L18" s="7">
        <f t="shared" si="3"/>
        <v>133.33333333333334</v>
      </c>
      <c r="M18" s="6">
        <v>11</v>
      </c>
      <c r="N18" s="7">
        <f t="shared" si="4"/>
        <v>100</v>
      </c>
      <c r="O18" s="6"/>
      <c r="P18" s="7">
        <f t="shared" si="5"/>
        <v>0</v>
      </c>
      <c r="Q18" s="6">
        <v>52</v>
      </c>
      <c r="R18" s="17">
        <f t="shared" si="6"/>
        <v>204.54545454545453</v>
      </c>
      <c r="S18" s="6">
        <v>3</v>
      </c>
      <c r="T18" s="7">
        <f t="shared" si="7"/>
        <v>125</v>
      </c>
      <c r="U18" s="6">
        <v>56</v>
      </c>
      <c r="V18" s="17">
        <f t="shared" si="8"/>
        <v>166.66666666666666</v>
      </c>
      <c r="W18" s="6">
        <v>11</v>
      </c>
      <c r="X18" s="7">
        <f t="shared" si="9"/>
        <v>93.75</v>
      </c>
      <c r="Y18" s="6">
        <v>53</v>
      </c>
      <c r="Z18" s="17">
        <f t="shared" si="10"/>
        <v>205.55555555555554</v>
      </c>
      <c r="AA18" s="6"/>
      <c r="AB18" s="7">
        <f t="shared" si="11"/>
        <v>0</v>
      </c>
      <c r="AC18" s="6">
        <f>36+26</f>
        <v>62</v>
      </c>
      <c r="AD18" s="17">
        <f t="shared" si="12"/>
        <v>177.27272727272728</v>
      </c>
      <c r="AE18" s="8">
        <f>V18+Z18+R18+AD18</f>
        <v>754.04040404040393</v>
      </c>
      <c r="AF18" s="6">
        <f t="shared" si="13"/>
        <v>10</v>
      </c>
      <c r="AG18" s="6">
        <f t="shared" si="14"/>
        <v>8</v>
      </c>
      <c r="AH18" s="13">
        <f t="shared" si="15"/>
        <v>0.76923076923076927</v>
      </c>
    </row>
    <row r="19" spans="1:34" x14ac:dyDescent="0.3">
      <c r="A19" s="5">
        <f t="shared" si="0"/>
        <v>9</v>
      </c>
      <c r="B19" s="6" t="s">
        <v>106</v>
      </c>
      <c r="C19" s="6" t="s">
        <v>107</v>
      </c>
      <c r="D19" s="6" t="s">
        <v>65</v>
      </c>
      <c r="E19" s="6">
        <v>3</v>
      </c>
      <c r="F19" s="17">
        <f t="shared" si="1"/>
        <v>157.14285714285714</v>
      </c>
      <c r="G19" s="6">
        <v>69</v>
      </c>
      <c r="H19" s="7">
        <f t="shared" si="2"/>
        <v>84.337349397590359</v>
      </c>
      <c r="I19" s="6"/>
      <c r="J19" s="7">
        <f t="shared" si="16"/>
        <v>0</v>
      </c>
      <c r="K19" s="6"/>
      <c r="L19" s="7">
        <f t="shared" si="3"/>
        <v>0</v>
      </c>
      <c r="M19" s="6">
        <v>1</v>
      </c>
      <c r="N19" s="17">
        <f t="shared" si="4"/>
        <v>190.90909090909091</v>
      </c>
      <c r="O19" s="6"/>
      <c r="P19" s="7">
        <f t="shared" si="5"/>
        <v>0</v>
      </c>
      <c r="Q19" s="6">
        <v>41</v>
      </c>
      <c r="R19" s="17">
        <f t="shared" si="6"/>
        <v>267.04545454545456</v>
      </c>
      <c r="S19" s="6"/>
      <c r="T19" s="7">
        <f t="shared" si="7"/>
        <v>0</v>
      </c>
      <c r="U19" s="6"/>
      <c r="V19" s="7">
        <f t="shared" si="8"/>
        <v>0</v>
      </c>
      <c r="W19" s="6">
        <v>10</v>
      </c>
      <c r="X19" s="17">
        <f t="shared" si="9"/>
        <v>112.5</v>
      </c>
      <c r="Y19" s="6"/>
      <c r="Z19" s="7">
        <f t="shared" si="10"/>
        <v>0</v>
      </c>
      <c r="AA19" s="6">
        <v>6</v>
      </c>
      <c r="AB19" s="7">
        <f t="shared" si="11"/>
        <v>50</v>
      </c>
      <c r="AC19" s="6">
        <f>36+41</f>
        <v>77</v>
      </c>
      <c r="AD19" s="7">
        <f t="shared" si="12"/>
        <v>75</v>
      </c>
      <c r="AE19" s="8">
        <f>F19+N19+R19+X19</f>
        <v>727.59740259740261</v>
      </c>
      <c r="AF19" s="6">
        <f t="shared" si="13"/>
        <v>7</v>
      </c>
      <c r="AG19" s="6">
        <f t="shared" si="14"/>
        <v>9</v>
      </c>
      <c r="AH19" s="13">
        <f t="shared" si="15"/>
        <v>0.53846153846153844</v>
      </c>
    </row>
    <row r="20" spans="1:34" x14ac:dyDescent="0.3">
      <c r="A20" s="5">
        <f t="shared" si="0"/>
        <v>10</v>
      </c>
      <c r="B20" s="6" t="s">
        <v>101</v>
      </c>
      <c r="C20" s="6" t="s">
        <v>102</v>
      </c>
      <c r="D20" s="6" t="s">
        <v>72</v>
      </c>
      <c r="E20" s="6">
        <v>9</v>
      </c>
      <c r="F20" s="7">
        <f t="shared" si="1"/>
        <v>71.428571428571431</v>
      </c>
      <c r="G20" s="6">
        <v>53</v>
      </c>
      <c r="H20" s="17">
        <f t="shared" si="2"/>
        <v>180.72289156626505</v>
      </c>
      <c r="I20" s="6"/>
      <c r="J20" s="7">
        <f t="shared" si="16"/>
        <v>0</v>
      </c>
      <c r="K20" s="6"/>
      <c r="L20" s="7">
        <f t="shared" si="3"/>
        <v>0</v>
      </c>
      <c r="M20" s="6">
        <v>5</v>
      </c>
      <c r="N20" s="17">
        <f t="shared" si="4"/>
        <v>154.54545454545453</v>
      </c>
      <c r="O20" s="6"/>
      <c r="P20" s="7">
        <f t="shared" si="5"/>
        <v>0</v>
      </c>
      <c r="Q20" s="6"/>
      <c r="R20" s="7">
        <f t="shared" si="6"/>
        <v>0</v>
      </c>
      <c r="S20" s="6">
        <v>5</v>
      </c>
      <c r="T20" s="7">
        <f t="shared" si="7"/>
        <v>75</v>
      </c>
      <c r="U20" s="6">
        <v>64</v>
      </c>
      <c r="V20" s="17">
        <f t="shared" si="8"/>
        <v>119.04761904761905</v>
      </c>
      <c r="W20" s="6">
        <v>3</v>
      </c>
      <c r="X20" s="17">
        <f t="shared" si="9"/>
        <v>243.75</v>
      </c>
      <c r="Y20" s="6"/>
      <c r="Z20" s="7">
        <f t="shared" si="10"/>
        <v>0</v>
      </c>
      <c r="AA20" s="6"/>
      <c r="AB20" s="7">
        <f t="shared" si="11"/>
        <v>0</v>
      </c>
      <c r="AC20" s="6">
        <f>36+44</f>
        <v>80</v>
      </c>
      <c r="AD20" s="7">
        <f t="shared" si="12"/>
        <v>54.545454545454547</v>
      </c>
      <c r="AE20" s="8">
        <f>V20+X20+N20+H20</f>
        <v>698.06596515933859</v>
      </c>
      <c r="AF20" s="6">
        <f t="shared" si="13"/>
        <v>7</v>
      </c>
      <c r="AG20" s="6">
        <f t="shared" si="14"/>
        <v>10</v>
      </c>
      <c r="AH20" s="13">
        <f t="shared" si="15"/>
        <v>0.53846153846153844</v>
      </c>
    </row>
    <row r="21" spans="1:34" x14ac:dyDescent="0.3">
      <c r="A21" s="5">
        <f t="shared" si="0"/>
        <v>11</v>
      </c>
      <c r="B21" s="6" t="s">
        <v>95</v>
      </c>
      <c r="C21" s="6" t="s">
        <v>96</v>
      </c>
      <c r="D21" s="6" t="s">
        <v>72</v>
      </c>
      <c r="E21" s="6">
        <v>7</v>
      </c>
      <c r="F21" s="7">
        <f t="shared" si="1"/>
        <v>100</v>
      </c>
      <c r="G21" s="6">
        <v>77</v>
      </c>
      <c r="H21" s="7">
        <f t="shared" si="2"/>
        <v>36.144578313253014</v>
      </c>
      <c r="I21" s="6"/>
      <c r="J21" s="7">
        <f t="shared" si="16"/>
        <v>0</v>
      </c>
      <c r="K21" s="6"/>
      <c r="L21" s="7">
        <f t="shared" si="3"/>
        <v>0</v>
      </c>
      <c r="M21" s="6">
        <v>8</v>
      </c>
      <c r="N21" s="17">
        <f t="shared" si="4"/>
        <v>127.27272727272727</v>
      </c>
      <c r="O21" s="6"/>
      <c r="P21" s="7">
        <f t="shared" si="5"/>
        <v>0</v>
      </c>
      <c r="Q21" s="6">
        <v>85</v>
      </c>
      <c r="R21" s="7">
        <f t="shared" si="6"/>
        <v>17.045454545454547</v>
      </c>
      <c r="S21" s="6">
        <v>2</v>
      </c>
      <c r="T21" s="17">
        <f t="shared" si="7"/>
        <v>150</v>
      </c>
      <c r="U21" s="6">
        <v>56</v>
      </c>
      <c r="V21" s="17">
        <f t="shared" si="8"/>
        <v>166.66666666666666</v>
      </c>
      <c r="W21" s="6">
        <v>12</v>
      </c>
      <c r="X21" s="7">
        <f t="shared" si="9"/>
        <v>75</v>
      </c>
      <c r="Y21" s="6">
        <v>69</v>
      </c>
      <c r="Z21" s="7">
        <f t="shared" si="10"/>
        <v>116.66666666666667</v>
      </c>
      <c r="AA21" s="6"/>
      <c r="AB21" s="7">
        <f t="shared" si="11"/>
        <v>0</v>
      </c>
      <c r="AC21" s="6">
        <f>36+16</f>
        <v>52</v>
      </c>
      <c r="AD21" s="17">
        <f t="shared" si="12"/>
        <v>245.45454545454547</v>
      </c>
      <c r="AE21" s="8">
        <f>N21+T21+V21+AD21</f>
        <v>689.39393939393938</v>
      </c>
      <c r="AF21" s="6">
        <f t="shared" si="13"/>
        <v>9</v>
      </c>
      <c r="AG21" s="6">
        <f t="shared" si="14"/>
        <v>11</v>
      </c>
      <c r="AH21" s="13">
        <f t="shared" si="15"/>
        <v>0.69230769230769229</v>
      </c>
    </row>
    <row r="22" spans="1:34" x14ac:dyDescent="0.3">
      <c r="A22" s="5">
        <f t="shared" si="0"/>
        <v>12</v>
      </c>
      <c r="B22" s="6" t="s">
        <v>166</v>
      </c>
      <c r="C22" s="6" t="s">
        <v>103</v>
      </c>
      <c r="D22" s="6" t="s">
        <v>89</v>
      </c>
      <c r="E22" s="6">
        <v>10</v>
      </c>
      <c r="F22" s="7">
        <f t="shared" si="1"/>
        <v>57.142857142857146</v>
      </c>
      <c r="G22" s="6"/>
      <c r="H22" s="7">
        <f t="shared" si="2"/>
        <v>0</v>
      </c>
      <c r="I22" s="6"/>
      <c r="J22" s="7">
        <f t="shared" si="16"/>
        <v>0</v>
      </c>
      <c r="K22" s="6">
        <v>2</v>
      </c>
      <c r="L22" s="7">
        <f t="shared" si="3"/>
        <v>155.55555555555554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>
        <v>7</v>
      </c>
      <c r="X22" s="7">
        <f t="shared" si="9"/>
        <v>168.75</v>
      </c>
      <c r="Y22" s="6">
        <v>75</v>
      </c>
      <c r="Z22" s="7">
        <f t="shared" si="10"/>
        <v>83.333333333333329</v>
      </c>
      <c r="AA22" s="6">
        <v>1</v>
      </c>
      <c r="AB22" s="7">
        <f t="shared" si="11"/>
        <v>175</v>
      </c>
      <c r="AC22" s="6"/>
      <c r="AD22" s="7">
        <f t="shared" si="12"/>
        <v>0</v>
      </c>
      <c r="AE22" s="8">
        <f>H22+R22+AD22+V22+L22+T22+X22+Z22+AB22+N22</f>
        <v>582.63888888888891</v>
      </c>
      <c r="AF22" s="6">
        <f t="shared" si="13"/>
        <v>5</v>
      </c>
      <c r="AG22" s="6">
        <f t="shared" si="14"/>
        <v>12</v>
      </c>
      <c r="AH22" s="13">
        <f t="shared" si="15"/>
        <v>0.38461538461538464</v>
      </c>
    </row>
    <row r="23" spans="1:34" x14ac:dyDescent="0.3">
      <c r="A23" s="5">
        <f t="shared" si="0"/>
        <v>13</v>
      </c>
      <c r="B23" s="6" t="s">
        <v>421</v>
      </c>
      <c r="C23" s="6" t="s">
        <v>103</v>
      </c>
      <c r="D23" s="6" t="s">
        <v>420</v>
      </c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6"/>
        <v>0</v>
      </c>
      <c r="K23" s="6">
        <v>6</v>
      </c>
      <c r="L23" s="7">
        <f t="shared" si="3"/>
        <v>66.666666666666671</v>
      </c>
      <c r="M23" s="6">
        <v>9</v>
      </c>
      <c r="N23" s="7">
        <f t="shared" si="4"/>
        <v>118.18181818181819</v>
      </c>
      <c r="O23" s="6"/>
      <c r="P23" s="7">
        <f t="shared" si="5"/>
        <v>0</v>
      </c>
      <c r="Q23" s="6">
        <v>54</v>
      </c>
      <c r="R23" s="7">
        <f t="shared" si="6"/>
        <v>193.18181818181819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>
        <v>79</v>
      </c>
      <c r="Z23" s="7">
        <f t="shared" si="10"/>
        <v>61.111111111111114</v>
      </c>
      <c r="AA23" s="6"/>
      <c r="AB23" s="7">
        <f t="shared" si="11"/>
        <v>0</v>
      </c>
      <c r="AC23" s="6"/>
      <c r="AD23" s="7">
        <f t="shared" si="12"/>
        <v>0</v>
      </c>
      <c r="AE23" s="8">
        <f>H23+R23+AD23+V23+L23+T23+X23+Z23+AB23+N23</f>
        <v>439.14141414141415</v>
      </c>
      <c r="AF23" s="6">
        <f t="shared" si="13"/>
        <v>4</v>
      </c>
      <c r="AG23" s="6">
        <f t="shared" si="14"/>
        <v>13</v>
      </c>
      <c r="AH23" s="13">
        <f t="shared" si="15"/>
        <v>0.30769230769230771</v>
      </c>
    </row>
    <row r="24" spans="1:34" x14ac:dyDescent="0.3">
      <c r="A24" s="5">
        <f t="shared" si="0"/>
        <v>14</v>
      </c>
      <c r="B24" s="6" t="s">
        <v>330</v>
      </c>
      <c r="C24" s="6" t="s">
        <v>331</v>
      </c>
      <c r="D24" s="6" t="s">
        <v>65</v>
      </c>
      <c r="E24" s="6"/>
      <c r="F24" s="7">
        <f t="shared" si="1"/>
        <v>0</v>
      </c>
      <c r="G24" s="6">
        <v>50</v>
      </c>
      <c r="H24" s="7">
        <f t="shared" si="2"/>
        <v>198.79518072289156</v>
      </c>
      <c r="I24" s="6"/>
      <c r="J24" s="7">
        <f t="shared" si="16"/>
        <v>0</v>
      </c>
      <c r="K24" s="6"/>
      <c r="L24" s="7">
        <f t="shared" si="3"/>
        <v>0</v>
      </c>
      <c r="M24" s="6">
        <v>13</v>
      </c>
      <c r="N24" s="7">
        <f t="shared" si="4"/>
        <v>81.818181818181813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 t="shared" ref="Z24:Z33" si="17">IF(Y24=0,,($U$9-Y24)*$U$7*100/$U$9)</f>
        <v>0</v>
      </c>
      <c r="AA24" s="6"/>
      <c r="AB24" s="7">
        <f t="shared" si="11"/>
        <v>0</v>
      </c>
      <c r="AC24" s="6"/>
      <c r="AD24" s="7">
        <f t="shared" si="12"/>
        <v>0</v>
      </c>
      <c r="AE24" s="8">
        <f>H24+R24+AD24+V24+L24+T24+X24+Z24+AB24+N24</f>
        <v>280.61336254107334</v>
      </c>
      <c r="AF24" s="6">
        <f t="shared" si="13"/>
        <v>2</v>
      </c>
      <c r="AG24" s="6">
        <f t="shared" si="14"/>
        <v>14</v>
      </c>
      <c r="AH24" s="13">
        <f t="shared" si="15"/>
        <v>0.15384615384615385</v>
      </c>
    </row>
    <row r="25" spans="1:34" x14ac:dyDescent="0.3">
      <c r="A25" s="5">
        <f t="shared" si="0"/>
        <v>15</v>
      </c>
      <c r="B25" s="6" t="s">
        <v>97</v>
      </c>
      <c r="C25" s="6" t="s">
        <v>98</v>
      </c>
      <c r="D25" s="6" t="s">
        <v>65</v>
      </c>
      <c r="E25" s="6">
        <v>8</v>
      </c>
      <c r="F25" s="17">
        <f t="shared" si="1"/>
        <v>85.714285714285708</v>
      </c>
      <c r="G25" s="6">
        <v>81</v>
      </c>
      <c r="H25" s="7">
        <f t="shared" si="2"/>
        <v>12.048192771084338</v>
      </c>
      <c r="I25" s="6"/>
      <c r="J25" s="7">
        <f t="shared" si="16"/>
        <v>0</v>
      </c>
      <c r="K25" s="6"/>
      <c r="L25" s="7">
        <f t="shared" si="3"/>
        <v>0</v>
      </c>
      <c r="M25" s="6">
        <v>15</v>
      </c>
      <c r="N25" s="17">
        <f t="shared" si="4"/>
        <v>63.636363636363633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6"/>
      <c r="V25" s="7">
        <f t="shared" si="8"/>
        <v>0</v>
      </c>
      <c r="W25" s="6">
        <v>13</v>
      </c>
      <c r="X25" s="17">
        <f t="shared" si="9"/>
        <v>56.25</v>
      </c>
      <c r="Y25" s="6"/>
      <c r="Z25" s="7">
        <f t="shared" si="17"/>
        <v>0</v>
      </c>
      <c r="AA25" s="6"/>
      <c r="AB25" s="7">
        <f t="shared" si="11"/>
        <v>0</v>
      </c>
      <c r="AC25" s="6">
        <f>36+43</f>
        <v>79</v>
      </c>
      <c r="AD25" s="17">
        <f t="shared" si="12"/>
        <v>61.363636363636367</v>
      </c>
      <c r="AE25" s="8">
        <f>AD25+X25+N25+F25</f>
        <v>266.96428571428572</v>
      </c>
      <c r="AF25" s="6">
        <f t="shared" si="13"/>
        <v>5</v>
      </c>
      <c r="AG25" s="6">
        <f t="shared" si="14"/>
        <v>15</v>
      </c>
      <c r="AH25" s="13">
        <f t="shared" si="15"/>
        <v>0.38461538461538464</v>
      </c>
    </row>
    <row r="26" spans="1:34" x14ac:dyDescent="0.3">
      <c r="A26" s="5">
        <f t="shared" si="0"/>
        <v>16</v>
      </c>
      <c r="B26" s="6" t="s">
        <v>190</v>
      </c>
      <c r="C26" s="6" t="s">
        <v>424</v>
      </c>
      <c r="D26" s="6" t="s">
        <v>401</v>
      </c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6"/>
        <v>0</v>
      </c>
      <c r="K26" s="6">
        <v>8</v>
      </c>
      <c r="L26" s="7">
        <f t="shared" si="3"/>
        <v>22.222222222222221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 t="shared" si="6"/>
        <v>0</v>
      </c>
      <c r="S26" s="6">
        <v>6</v>
      </c>
      <c r="T26" s="7">
        <f t="shared" si="7"/>
        <v>50</v>
      </c>
      <c r="U26" s="6"/>
      <c r="V26" s="7">
        <f t="shared" si="8"/>
        <v>0</v>
      </c>
      <c r="W26" s="6">
        <v>14</v>
      </c>
      <c r="X26" s="7">
        <f t="shared" si="9"/>
        <v>37.5</v>
      </c>
      <c r="Y26" s="6"/>
      <c r="Z26" s="7">
        <f t="shared" si="17"/>
        <v>0</v>
      </c>
      <c r="AA26" s="6">
        <v>7</v>
      </c>
      <c r="AB26" s="7">
        <f t="shared" si="11"/>
        <v>25</v>
      </c>
      <c r="AC26" s="6"/>
      <c r="AD26" s="7">
        <f t="shared" si="12"/>
        <v>0</v>
      </c>
      <c r="AE26" s="8">
        <f t="shared" ref="AE26:AE33" si="18">H26+R26+AD26+V26+L26+T26+X26+Z26+AB26+N26</f>
        <v>134.72222222222223</v>
      </c>
      <c r="AF26" s="6">
        <f t="shared" si="13"/>
        <v>4</v>
      </c>
      <c r="AG26" s="6">
        <f t="shared" si="14"/>
        <v>16</v>
      </c>
      <c r="AH26" s="13">
        <f t="shared" si="15"/>
        <v>0.30769230769230771</v>
      </c>
    </row>
    <row r="27" spans="1:34" x14ac:dyDescent="0.3">
      <c r="A27" s="5">
        <f t="shared" si="0"/>
        <v>17</v>
      </c>
      <c r="B27" s="6" t="s">
        <v>91</v>
      </c>
      <c r="C27" s="6" t="s">
        <v>92</v>
      </c>
      <c r="D27" s="6" t="s">
        <v>72</v>
      </c>
      <c r="E27" s="6">
        <v>13</v>
      </c>
      <c r="F27" s="7">
        <f t="shared" si="1"/>
        <v>14.285714285714286</v>
      </c>
      <c r="G27" s="6"/>
      <c r="H27" s="7">
        <f t="shared" si="2"/>
        <v>0</v>
      </c>
      <c r="I27" s="6"/>
      <c r="J27" s="7">
        <f t="shared" si="16"/>
        <v>0</v>
      </c>
      <c r="K27" s="6"/>
      <c r="L27" s="7">
        <f t="shared" si="3"/>
        <v>0</v>
      </c>
      <c r="M27" s="6">
        <v>12</v>
      </c>
      <c r="N27" s="7">
        <f t="shared" si="4"/>
        <v>90.909090909090907</v>
      </c>
      <c r="O27" s="6"/>
      <c r="P27" s="7">
        <f t="shared" si="5"/>
        <v>0</v>
      </c>
      <c r="Q27" s="6"/>
      <c r="R27" s="7">
        <f t="shared" si="6"/>
        <v>0</v>
      </c>
      <c r="S27" s="6">
        <v>7</v>
      </c>
      <c r="T27" s="7">
        <f t="shared" si="7"/>
        <v>25</v>
      </c>
      <c r="U27" s="6"/>
      <c r="V27" s="7">
        <f t="shared" si="8"/>
        <v>0</v>
      </c>
      <c r="W27" s="6">
        <v>15</v>
      </c>
      <c r="X27" s="7">
        <f t="shared" si="9"/>
        <v>18.75</v>
      </c>
      <c r="Y27" s="6"/>
      <c r="Z27" s="7">
        <f t="shared" si="17"/>
        <v>0</v>
      </c>
      <c r="AA27" s="6"/>
      <c r="AB27" s="7">
        <f t="shared" si="11"/>
        <v>0</v>
      </c>
      <c r="AC27" s="6"/>
      <c r="AD27" s="7">
        <f t="shared" si="12"/>
        <v>0</v>
      </c>
      <c r="AE27" s="8">
        <f t="shared" si="18"/>
        <v>134.65909090909091</v>
      </c>
      <c r="AF27" s="6">
        <f t="shared" si="13"/>
        <v>4</v>
      </c>
      <c r="AG27" s="6">
        <f t="shared" si="14"/>
        <v>17</v>
      </c>
      <c r="AH27" s="13">
        <f t="shared" si="15"/>
        <v>0.30769230769230771</v>
      </c>
    </row>
    <row r="28" spans="1:34" x14ac:dyDescent="0.3">
      <c r="A28" s="5">
        <f t="shared" si="0"/>
        <v>18</v>
      </c>
      <c r="B28" s="6" t="s">
        <v>198</v>
      </c>
      <c r="C28" s="6" t="s">
        <v>199</v>
      </c>
      <c r="D28" s="6" t="s">
        <v>252</v>
      </c>
      <c r="E28" s="6">
        <v>6</v>
      </c>
      <c r="F28" s="7">
        <f t="shared" si="1"/>
        <v>114.28571428571429</v>
      </c>
      <c r="G28" s="6">
        <v>74</v>
      </c>
      <c r="H28" s="7">
        <f t="shared" si="2"/>
        <v>54.216867469879517</v>
      </c>
      <c r="I28" s="6"/>
      <c r="J28" s="7">
        <f t="shared" si="16"/>
        <v>0</v>
      </c>
      <c r="K28" s="6"/>
      <c r="L28" s="7">
        <f t="shared" si="3"/>
        <v>0</v>
      </c>
      <c r="M28" s="6">
        <v>17</v>
      </c>
      <c r="N28" s="7">
        <f t="shared" si="4"/>
        <v>45.454545454545453</v>
      </c>
      <c r="O28" s="6"/>
      <c r="P28" s="7">
        <f t="shared" si="5"/>
        <v>0</v>
      </c>
      <c r="Q28" s="6"/>
      <c r="R28" s="7">
        <f t="shared" si="6"/>
        <v>0</v>
      </c>
      <c r="S28" s="6"/>
      <c r="T28" s="7">
        <f t="shared" si="7"/>
        <v>0</v>
      </c>
      <c r="U28" s="6"/>
      <c r="V28" s="7">
        <f t="shared" si="8"/>
        <v>0</v>
      </c>
      <c r="W28" s="6"/>
      <c r="X28" s="7">
        <f t="shared" si="9"/>
        <v>0</v>
      </c>
      <c r="Y28" s="6"/>
      <c r="Z28" s="7">
        <f t="shared" si="17"/>
        <v>0</v>
      </c>
      <c r="AA28" s="6"/>
      <c r="AB28" s="7">
        <f t="shared" si="11"/>
        <v>0</v>
      </c>
      <c r="AC28" s="6"/>
      <c r="AD28" s="7">
        <f t="shared" si="12"/>
        <v>0</v>
      </c>
      <c r="AE28" s="8">
        <f t="shared" si="18"/>
        <v>99.67141292442497</v>
      </c>
      <c r="AF28" s="6">
        <f t="shared" si="13"/>
        <v>3</v>
      </c>
      <c r="AG28" s="6">
        <f t="shared" si="14"/>
        <v>18</v>
      </c>
      <c r="AH28" s="13">
        <f t="shared" si="15"/>
        <v>0.23076923076923078</v>
      </c>
    </row>
    <row r="29" spans="1:34" x14ac:dyDescent="0.3">
      <c r="A29" s="5">
        <f t="shared" si="0"/>
        <v>19</v>
      </c>
      <c r="B29" s="6" t="s">
        <v>418</v>
      </c>
      <c r="C29" s="6" t="s">
        <v>419</v>
      </c>
      <c r="D29" s="6" t="s">
        <v>420</v>
      </c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6"/>
        <v>0</v>
      </c>
      <c r="K29" s="6">
        <v>5</v>
      </c>
      <c r="L29" s="7">
        <f t="shared" si="3"/>
        <v>88.888888888888886</v>
      </c>
      <c r="M29" s="6"/>
      <c r="N29" s="7">
        <f t="shared" si="4"/>
        <v>0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6"/>
      <c r="V29" s="7">
        <f t="shared" si="8"/>
        <v>0</v>
      </c>
      <c r="W29" s="6">
        <v>16</v>
      </c>
      <c r="X29" s="7">
        <f>19/2</f>
        <v>9.5</v>
      </c>
      <c r="Y29" s="6"/>
      <c r="Z29" s="7">
        <f t="shared" si="17"/>
        <v>0</v>
      </c>
      <c r="AA29" s="6"/>
      <c r="AB29" s="7">
        <f t="shared" si="11"/>
        <v>0</v>
      </c>
      <c r="AC29" s="6"/>
      <c r="AD29" s="7">
        <f t="shared" si="12"/>
        <v>0</v>
      </c>
      <c r="AE29" s="8">
        <f t="shared" si="18"/>
        <v>98.388888888888886</v>
      </c>
      <c r="AF29" s="6">
        <f t="shared" si="13"/>
        <v>2</v>
      </c>
      <c r="AG29" s="6">
        <f t="shared" si="14"/>
        <v>19</v>
      </c>
      <c r="AH29" s="13">
        <f t="shared" si="15"/>
        <v>0.15384615384615385</v>
      </c>
    </row>
    <row r="30" spans="1:34" x14ac:dyDescent="0.3">
      <c r="A30" s="5">
        <f t="shared" si="0"/>
        <v>20</v>
      </c>
      <c r="B30" s="6" t="s">
        <v>422</v>
      </c>
      <c r="C30" s="6" t="s">
        <v>365</v>
      </c>
      <c r="D30" s="6" t="s">
        <v>423</v>
      </c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6"/>
        <v>0</v>
      </c>
      <c r="K30" s="6">
        <v>7</v>
      </c>
      <c r="L30" s="7">
        <f t="shared" si="3"/>
        <v>44.444444444444443</v>
      </c>
      <c r="M30" s="6"/>
      <c r="N30" s="7">
        <f t="shared" si="4"/>
        <v>0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6"/>
      <c r="V30" s="7">
        <f t="shared" si="8"/>
        <v>0</v>
      </c>
      <c r="W30" s="6"/>
      <c r="X30" s="7">
        <f>IF(W30=0,,($W$9-W30)*$W$7*100/$W$9)</f>
        <v>0</v>
      </c>
      <c r="Y30" s="6"/>
      <c r="Z30" s="7">
        <f t="shared" si="17"/>
        <v>0</v>
      </c>
      <c r="AA30" s="6"/>
      <c r="AB30" s="7">
        <f t="shared" si="11"/>
        <v>0</v>
      </c>
      <c r="AC30" s="6"/>
      <c r="AD30" s="7">
        <f t="shared" si="12"/>
        <v>0</v>
      </c>
      <c r="AE30" s="8">
        <f t="shared" si="18"/>
        <v>44.444444444444443</v>
      </c>
      <c r="AF30" s="6">
        <f t="shared" si="13"/>
        <v>1</v>
      </c>
      <c r="AG30" s="6">
        <f t="shared" si="14"/>
        <v>20</v>
      </c>
      <c r="AH30" s="13">
        <f t="shared" si="15"/>
        <v>7.6923076923076927E-2</v>
      </c>
    </row>
    <row r="31" spans="1:34" x14ac:dyDescent="0.3">
      <c r="A31" s="5">
        <f t="shared" si="0"/>
        <v>21</v>
      </c>
      <c r="B31" s="6" t="s">
        <v>392</v>
      </c>
      <c r="C31" s="6" t="s">
        <v>390</v>
      </c>
      <c r="D31" s="6" t="s">
        <v>89</v>
      </c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6"/>
        <v>0</v>
      </c>
      <c r="K31" s="6">
        <v>9</v>
      </c>
      <c r="L31" s="7">
        <f>22/2</f>
        <v>11</v>
      </c>
      <c r="M31" s="6"/>
      <c r="N31" s="7">
        <f t="shared" si="4"/>
        <v>0</v>
      </c>
      <c r="O31" s="6"/>
      <c r="P31" s="7">
        <f t="shared" si="5"/>
        <v>0</v>
      </c>
      <c r="Q31" s="6"/>
      <c r="R31" s="7">
        <f t="shared" si="6"/>
        <v>0</v>
      </c>
      <c r="S31" s="6"/>
      <c r="T31" s="7">
        <f t="shared" si="7"/>
        <v>0</v>
      </c>
      <c r="U31" s="6"/>
      <c r="V31" s="7">
        <f t="shared" si="8"/>
        <v>0</v>
      </c>
      <c r="W31" s="6"/>
      <c r="X31" s="7">
        <f>IF(W31=0,,($W$9-W31)*$W$7*100/$W$9)</f>
        <v>0</v>
      </c>
      <c r="Y31" s="6"/>
      <c r="Z31" s="7">
        <f t="shared" si="17"/>
        <v>0</v>
      </c>
      <c r="AA31" s="6">
        <v>8</v>
      </c>
      <c r="AB31" s="7">
        <f>25/2</f>
        <v>12.5</v>
      </c>
      <c r="AC31" s="6"/>
      <c r="AD31" s="7">
        <f t="shared" si="12"/>
        <v>0</v>
      </c>
      <c r="AE31" s="8">
        <f t="shared" si="18"/>
        <v>23.5</v>
      </c>
      <c r="AF31" s="6">
        <f t="shared" si="13"/>
        <v>2</v>
      </c>
      <c r="AG31" s="6">
        <f t="shared" si="14"/>
        <v>21</v>
      </c>
      <c r="AH31" s="13">
        <f t="shared" si="15"/>
        <v>0.15384615384615385</v>
      </c>
    </row>
    <row r="32" spans="1:34" x14ac:dyDescent="0.3">
      <c r="A32" s="5">
        <f t="shared" si="0"/>
        <v>22</v>
      </c>
      <c r="B32" s="6" t="s">
        <v>524</v>
      </c>
      <c r="C32" s="6" t="s">
        <v>525</v>
      </c>
      <c r="D32" s="6" t="s">
        <v>72</v>
      </c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6"/>
        <v>0</v>
      </c>
      <c r="K32" s="6"/>
      <c r="L32" s="7">
        <f>IF(K32=0,,($K$9-K32)*$K$7*100/$K$9)</f>
        <v>0</v>
      </c>
      <c r="M32" s="6"/>
      <c r="N32" s="7">
        <f t="shared" si="4"/>
        <v>0</v>
      </c>
      <c r="O32" s="6"/>
      <c r="P32" s="7">
        <f t="shared" si="5"/>
        <v>0</v>
      </c>
      <c r="Q32" s="6"/>
      <c r="R32" s="7">
        <f t="shared" si="6"/>
        <v>0</v>
      </c>
      <c r="S32" s="6">
        <v>8</v>
      </c>
      <c r="T32" s="7">
        <f>25/2</f>
        <v>12.5</v>
      </c>
      <c r="U32" s="6"/>
      <c r="V32" s="7">
        <f t="shared" si="8"/>
        <v>0</v>
      </c>
      <c r="W32" s="6"/>
      <c r="X32" s="7">
        <f>IF(W32=0,,($W$9-W32)*$W$7*100/$W$9)</f>
        <v>0</v>
      </c>
      <c r="Y32" s="6"/>
      <c r="Z32" s="7">
        <f t="shared" si="17"/>
        <v>0</v>
      </c>
      <c r="AA32" s="6"/>
      <c r="AB32" s="7">
        <f>IF(AA32=0,,($AA$9-AA32)*$AA$7*100/$AA$9)</f>
        <v>0</v>
      </c>
      <c r="AC32" s="6"/>
      <c r="AD32" s="7">
        <f t="shared" si="12"/>
        <v>0</v>
      </c>
      <c r="AE32" s="8">
        <f t="shared" si="18"/>
        <v>12.5</v>
      </c>
      <c r="AF32" s="6">
        <f t="shared" si="13"/>
        <v>1</v>
      </c>
      <c r="AG32" s="6">
        <f t="shared" si="14"/>
        <v>22</v>
      </c>
      <c r="AH32" s="13">
        <f t="shared" si="15"/>
        <v>7.6923076923076927E-2</v>
      </c>
    </row>
    <row r="33" spans="1:34" x14ac:dyDescent="0.3">
      <c r="A33" s="5">
        <f t="shared" si="0"/>
        <v>23</v>
      </c>
      <c r="B33" s="6" t="s">
        <v>253</v>
      </c>
      <c r="C33" s="6" t="s">
        <v>254</v>
      </c>
      <c r="D33" s="6" t="s">
        <v>65</v>
      </c>
      <c r="E33" s="6">
        <v>14</v>
      </c>
      <c r="F33" s="7">
        <f>14/2</f>
        <v>7</v>
      </c>
      <c r="G33" s="6">
        <v>82</v>
      </c>
      <c r="H33" s="7">
        <f t="shared" si="2"/>
        <v>6.024096385542169</v>
      </c>
      <c r="I33" s="6"/>
      <c r="J33" s="7">
        <f t="shared" si="16"/>
        <v>0</v>
      </c>
      <c r="K33" s="6"/>
      <c r="L33" s="7">
        <f>IF(K33=0,,($K$9-K33)*$K$7*100/$K$9)</f>
        <v>0</v>
      </c>
      <c r="M33" s="6"/>
      <c r="N33" s="7">
        <f t="shared" si="4"/>
        <v>0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>IF(S33=0,,($S$9-S33)*$S$7*100/$S$9)</f>
        <v>0</v>
      </c>
      <c r="U33" s="6"/>
      <c r="V33" s="7">
        <f t="shared" si="8"/>
        <v>0</v>
      </c>
      <c r="W33" s="6"/>
      <c r="X33" s="7">
        <f>IF(W33=0,,($W$9-W33)*$W$7*100/$W$9)</f>
        <v>0</v>
      </c>
      <c r="Y33" s="6"/>
      <c r="Z33" s="7">
        <f t="shared" si="17"/>
        <v>0</v>
      </c>
      <c r="AA33" s="6"/>
      <c r="AB33" s="7">
        <f>IF(AA33=0,,($AA$9-AA33)*$AA$7*100/$AA$9)</f>
        <v>0</v>
      </c>
      <c r="AC33" s="6"/>
      <c r="AD33" s="7">
        <f t="shared" si="12"/>
        <v>0</v>
      </c>
      <c r="AE33" s="8">
        <f t="shared" si="18"/>
        <v>6.024096385542169</v>
      </c>
      <c r="AF33" s="6">
        <f t="shared" si="13"/>
        <v>2</v>
      </c>
      <c r="AG33" s="6">
        <f t="shared" si="14"/>
        <v>23</v>
      </c>
      <c r="AH33" s="13">
        <f t="shared" si="15"/>
        <v>0.15384615384615385</v>
      </c>
    </row>
    <row r="34" spans="1:34" x14ac:dyDescent="0.3">
      <c r="A34" s="5">
        <f t="shared" ref="A34:A45" si="19">AG34</f>
        <v>24</v>
      </c>
      <c r="B34" s="6"/>
      <c r="C34" s="6"/>
      <c r="D34" s="6"/>
      <c r="F34" s="7">
        <f t="shared" ref="F34:F45" si="20">IF(E34=0,,($E$9-E34)*$E$7*100/$E$9)</f>
        <v>0</v>
      </c>
      <c r="H34" s="7">
        <f t="shared" ref="H34:H45" si="21">IF(G34=0,,($G$9-G34)*$G$7*100/$G$9)</f>
        <v>0</v>
      </c>
      <c r="I34" s="6"/>
      <c r="J34" s="7">
        <f t="shared" ref="J34:J45" si="22">IF(I34=0,,($K$9-I34)*$K$7*100/$K$9)</f>
        <v>0</v>
      </c>
      <c r="K34" s="6"/>
      <c r="L34" s="7">
        <f t="shared" ref="L34:L45" si="23">IF(K34=0,,($K$9-K34)*$K$7*100/$K$9)</f>
        <v>0</v>
      </c>
      <c r="M34" s="6"/>
      <c r="N34" s="7">
        <f t="shared" ref="N34:N45" si="24">IF(M34=0,,($M$9-M34)*$M$7*100/$M$9)</f>
        <v>0</v>
      </c>
      <c r="O34" s="6"/>
      <c r="P34" s="7">
        <f t="shared" ref="P34:P45" si="25">IF(O34=0,,($O$9-O34)*$O$7*100/$O$9)</f>
        <v>0</v>
      </c>
      <c r="Q34" s="6"/>
      <c r="R34" s="7">
        <f t="shared" ref="R34:R45" si="26">IF(Q34=0,,($Q$9-Q34)*$Q$7*100/$Q$9)</f>
        <v>0</v>
      </c>
      <c r="S34" s="6"/>
      <c r="T34" s="7">
        <f t="shared" ref="T34:T45" si="27">IF(S34=0,,($S$9-S34)*$S$7*100/$S$9)</f>
        <v>0</v>
      </c>
      <c r="U34" s="6"/>
      <c r="V34" s="7">
        <f t="shared" ref="V34:V45" si="28">IF(U34=0,,($U$9-U34)*$U$7*100/$U$9)</f>
        <v>0</v>
      </c>
      <c r="W34" s="6"/>
      <c r="X34" s="7">
        <f t="shared" ref="X34:X45" si="29">IF(W34=0,,($W$9-W34)*$W$7*100/$W$9)</f>
        <v>0</v>
      </c>
      <c r="Y34" s="6"/>
      <c r="Z34" s="7">
        <f t="shared" ref="Z34:Z45" si="30">IF(Y34=0,,($U$9-Y34)*$U$7*100/$U$9)</f>
        <v>0</v>
      </c>
      <c r="AA34" s="6"/>
      <c r="AB34" s="7">
        <f t="shared" ref="AB34:AB45" si="31">IF(AA34=0,,($AA$9-AA34)*$AA$7*100/$AA$9)</f>
        <v>0</v>
      </c>
      <c r="AC34" s="6"/>
      <c r="AD34" s="7">
        <f t="shared" ref="AD34:AD45" si="32">IF(AC34=0,,($AC$9-AC34)*$AC$7*100/$AC$9)</f>
        <v>0</v>
      </c>
      <c r="AE34" s="8">
        <f t="shared" ref="AE34:AE45" si="33">H34+R34+AD34+V34+L34+T34+X34+Z34+AB34+N34</f>
        <v>0</v>
      </c>
      <c r="AF34" s="6">
        <f t="shared" ref="AF34:AF45" si="34">COUNTA(AC34,AA34,Y34,W34,U34,S34,Q34,K34,M34,G34,E34,I34,O34)</f>
        <v>0</v>
      </c>
      <c r="AG34" s="6">
        <f t="shared" ref="AG34:AG45" si="35">ROW(B34)-10</f>
        <v>24</v>
      </c>
      <c r="AH34" s="13">
        <f t="shared" ref="AH34:AH45" si="36">AF34/$G$3</f>
        <v>0</v>
      </c>
    </row>
    <row r="35" spans="1:34" x14ac:dyDescent="0.3">
      <c r="A35" s="5">
        <f t="shared" si="19"/>
        <v>25</v>
      </c>
      <c r="B35" s="6"/>
      <c r="C35" s="6"/>
      <c r="D35" s="6"/>
      <c r="E35" s="6"/>
      <c r="F35" s="7">
        <f t="shared" si="20"/>
        <v>0</v>
      </c>
      <c r="G35" s="6"/>
      <c r="H35" s="7">
        <f t="shared" si="21"/>
        <v>0</v>
      </c>
      <c r="I35" s="6"/>
      <c r="J35" s="7">
        <f t="shared" si="22"/>
        <v>0</v>
      </c>
      <c r="K35" s="6"/>
      <c r="L35" s="7">
        <f t="shared" si="23"/>
        <v>0</v>
      </c>
      <c r="M35" s="6"/>
      <c r="N35" s="7">
        <f t="shared" si="24"/>
        <v>0</v>
      </c>
      <c r="O35" s="6"/>
      <c r="P35" s="7">
        <f t="shared" si="25"/>
        <v>0</v>
      </c>
      <c r="Q35" s="6"/>
      <c r="R35" s="7">
        <f t="shared" si="26"/>
        <v>0</v>
      </c>
      <c r="S35" s="6"/>
      <c r="T35" s="7">
        <f t="shared" si="27"/>
        <v>0</v>
      </c>
      <c r="U35" s="6"/>
      <c r="V35" s="7">
        <f t="shared" si="28"/>
        <v>0</v>
      </c>
      <c r="W35" s="6"/>
      <c r="X35" s="7">
        <f t="shared" si="29"/>
        <v>0</v>
      </c>
      <c r="Y35" s="6"/>
      <c r="Z35" s="7">
        <f t="shared" si="30"/>
        <v>0</v>
      </c>
      <c r="AA35" s="6"/>
      <c r="AB35" s="7">
        <f t="shared" si="31"/>
        <v>0</v>
      </c>
      <c r="AC35" s="6"/>
      <c r="AD35" s="7">
        <f t="shared" si="32"/>
        <v>0</v>
      </c>
      <c r="AE35" s="8">
        <f t="shared" si="33"/>
        <v>0</v>
      </c>
      <c r="AF35" s="6">
        <f t="shared" si="34"/>
        <v>0</v>
      </c>
      <c r="AG35" s="6">
        <f t="shared" si="35"/>
        <v>25</v>
      </c>
      <c r="AH35" s="13">
        <f t="shared" si="36"/>
        <v>0</v>
      </c>
    </row>
    <row r="36" spans="1:34" x14ac:dyDescent="0.3">
      <c r="A36" s="5">
        <f t="shared" si="19"/>
        <v>26</v>
      </c>
      <c r="B36" s="6"/>
      <c r="C36" s="6"/>
      <c r="D36" s="6"/>
      <c r="E36" s="6"/>
      <c r="F36" s="7">
        <f t="shared" si="20"/>
        <v>0</v>
      </c>
      <c r="G36" s="6"/>
      <c r="H36" s="7">
        <f t="shared" si="21"/>
        <v>0</v>
      </c>
      <c r="I36" s="6"/>
      <c r="J36" s="7">
        <f t="shared" si="22"/>
        <v>0</v>
      </c>
      <c r="K36" s="6"/>
      <c r="L36" s="7">
        <f t="shared" si="23"/>
        <v>0</v>
      </c>
      <c r="M36" s="6"/>
      <c r="N36" s="7">
        <f t="shared" si="24"/>
        <v>0</v>
      </c>
      <c r="O36" s="6"/>
      <c r="P36" s="7">
        <f t="shared" si="25"/>
        <v>0</v>
      </c>
      <c r="Q36" s="6"/>
      <c r="R36" s="7">
        <f t="shared" si="26"/>
        <v>0</v>
      </c>
      <c r="S36" s="6"/>
      <c r="T36" s="7">
        <f t="shared" si="27"/>
        <v>0</v>
      </c>
      <c r="U36" s="6"/>
      <c r="V36" s="7">
        <f t="shared" si="28"/>
        <v>0</v>
      </c>
      <c r="W36" s="6"/>
      <c r="X36" s="7">
        <f t="shared" si="29"/>
        <v>0</v>
      </c>
      <c r="Y36" s="6"/>
      <c r="Z36" s="7">
        <f t="shared" si="30"/>
        <v>0</v>
      </c>
      <c r="AA36" s="6"/>
      <c r="AB36" s="7">
        <f t="shared" si="31"/>
        <v>0</v>
      </c>
      <c r="AC36" s="6"/>
      <c r="AD36" s="7">
        <f t="shared" si="32"/>
        <v>0</v>
      </c>
      <c r="AE36" s="8">
        <f t="shared" si="33"/>
        <v>0</v>
      </c>
      <c r="AF36" s="6">
        <f t="shared" si="34"/>
        <v>0</v>
      </c>
      <c r="AG36" s="6">
        <f t="shared" si="35"/>
        <v>26</v>
      </c>
      <c r="AH36" s="13">
        <f t="shared" si="36"/>
        <v>0</v>
      </c>
    </row>
    <row r="37" spans="1:34" x14ac:dyDescent="0.3">
      <c r="A37" s="5">
        <f t="shared" si="19"/>
        <v>27</v>
      </c>
      <c r="B37" s="6"/>
      <c r="C37" s="6"/>
      <c r="D37" s="6"/>
      <c r="E37" s="6"/>
      <c r="F37" s="7">
        <f t="shared" si="20"/>
        <v>0</v>
      </c>
      <c r="G37" s="6"/>
      <c r="H37" s="7">
        <f t="shared" si="21"/>
        <v>0</v>
      </c>
      <c r="I37" s="6"/>
      <c r="J37" s="7">
        <f t="shared" si="22"/>
        <v>0</v>
      </c>
      <c r="K37" s="6"/>
      <c r="L37" s="7">
        <f t="shared" si="23"/>
        <v>0</v>
      </c>
      <c r="M37" s="6"/>
      <c r="N37" s="7">
        <f t="shared" si="24"/>
        <v>0</v>
      </c>
      <c r="O37" s="6"/>
      <c r="P37" s="7">
        <f t="shared" si="25"/>
        <v>0</v>
      </c>
      <c r="Q37" s="6"/>
      <c r="R37" s="7">
        <f t="shared" si="26"/>
        <v>0</v>
      </c>
      <c r="S37" s="6"/>
      <c r="T37" s="7">
        <f t="shared" si="27"/>
        <v>0</v>
      </c>
      <c r="U37" s="6"/>
      <c r="V37" s="7">
        <f t="shared" si="28"/>
        <v>0</v>
      </c>
      <c r="W37" s="6"/>
      <c r="X37" s="7">
        <f t="shared" si="29"/>
        <v>0</v>
      </c>
      <c r="Y37" s="6"/>
      <c r="Z37" s="7">
        <f t="shared" si="30"/>
        <v>0</v>
      </c>
      <c r="AA37" s="6"/>
      <c r="AB37" s="7">
        <f t="shared" si="31"/>
        <v>0</v>
      </c>
      <c r="AC37" s="6"/>
      <c r="AD37" s="7">
        <f t="shared" si="32"/>
        <v>0</v>
      </c>
      <c r="AE37" s="8">
        <f t="shared" si="33"/>
        <v>0</v>
      </c>
      <c r="AF37" s="6">
        <f t="shared" si="34"/>
        <v>0</v>
      </c>
      <c r="AG37" s="6">
        <f t="shared" si="35"/>
        <v>27</v>
      </c>
      <c r="AH37" s="13">
        <f t="shared" si="36"/>
        <v>0</v>
      </c>
    </row>
    <row r="38" spans="1:34" x14ac:dyDescent="0.3">
      <c r="A38" s="5">
        <f t="shared" si="19"/>
        <v>28</v>
      </c>
      <c r="B38" s="6"/>
      <c r="C38" s="6"/>
      <c r="D38" s="6"/>
      <c r="E38" s="6"/>
      <c r="F38" s="7">
        <f t="shared" si="20"/>
        <v>0</v>
      </c>
      <c r="G38" s="6"/>
      <c r="H38" s="7">
        <f t="shared" si="21"/>
        <v>0</v>
      </c>
      <c r="I38" s="6"/>
      <c r="J38" s="7">
        <f t="shared" si="22"/>
        <v>0</v>
      </c>
      <c r="K38" s="6"/>
      <c r="L38" s="7">
        <f t="shared" si="23"/>
        <v>0</v>
      </c>
      <c r="M38" s="6"/>
      <c r="N38" s="7">
        <f t="shared" si="24"/>
        <v>0</v>
      </c>
      <c r="O38" s="6"/>
      <c r="P38" s="7">
        <f t="shared" si="25"/>
        <v>0</v>
      </c>
      <c r="Q38" s="6"/>
      <c r="R38" s="7">
        <f t="shared" si="26"/>
        <v>0</v>
      </c>
      <c r="S38" s="6"/>
      <c r="T38" s="7">
        <f t="shared" si="27"/>
        <v>0</v>
      </c>
      <c r="U38" s="6"/>
      <c r="V38" s="7">
        <f t="shared" si="28"/>
        <v>0</v>
      </c>
      <c r="W38" s="6"/>
      <c r="X38" s="7">
        <f t="shared" si="29"/>
        <v>0</v>
      </c>
      <c r="Y38" s="6"/>
      <c r="Z38" s="7">
        <f t="shared" si="30"/>
        <v>0</v>
      </c>
      <c r="AA38" s="6"/>
      <c r="AB38" s="7">
        <f t="shared" si="31"/>
        <v>0</v>
      </c>
      <c r="AC38" s="6"/>
      <c r="AD38" s="7">
        <f t="shared" si="32"/>
        <v>0</v>
      </c>
      <c r="AE38" s="8">
        <f t="shared" si="33"/>
        <v>0</v>
      </c>
      <c r="AF38" s="6">
        <f t="shared" si="34"/>
        <v>0</v>
      </c>
      <c r="AG38" s="6">
        <f t="shared" si="35"/>
        <v>28</v>
      </c>
      <c r="AH38" s="13">
        <f t="shared" si="36"/>
        <v>0</v>
      </c>
    </row>
    <row r="39" spans="1:34" x14ac:dyDescent="0.3">
      <c r="A39" s="5">
        <f t="shared" si="19"/>
        <v>29</v>
      </c>
      <c r="B39" s="6"/>
      <c r="C39" s="6"/>
      <c r="D39" s="6"/>
      <c r="E39" s="6"/>
      <c r="F39" s="7">
        <f t="shared" si="20"/>
        <v>0</v>
      </c>
      <c r="G39" s="6"/>
      <c r="H39" s="7">
        <f t="shared" si="21"/>
        <v>0</v>
      </c>
      <c r="I39" s="6"/>
      <c r="J39" s="7">
        <f t="shared" si="22"/>
        <v>0</v>
      </c>
      <c r="K39" s="6"/>
      <c r="L39" s="7">
        <f t="shared" si="23"/>
        <v>0</v>
      </c>
      <c r="M39" s="6"/>
      <c r="N39" s="7">
        <f t="shared" si="24"/>
        <v>0</v>
      </c>
      <c r="O39" s="6"/>
      <c r="P39" s="7">
        <f t="shared" si="25"/>
        <v>0</v>
      </c>
      <c r="Q39" s="6"/>
      <c r="R39" s="7">
        <f t="shared" si="26"/>
        <v>0</v>
      </c>
      <c r="S39" s="6"/>
      <c r="T39" s="7">
        <f t="shared" si="27"/>
        <v>0</v>
      </c>
      <c r="U39" s="6"/>
      <c r="V39" s="7">
        <f t="shared" si="28"/>
        <v>0</v>
      </c>
      <c r="W39" s="6"/>
      <c r="X39" s="7">
        <f t="shared" si="29"/>
        <v>0</v>
      </c>
      <c r="Y39" s="6"/>
      <c r="Z39" s="7">
        <f t="shared" si="30"/>
        <v>0</v>
      </c>
      <c r="AA39" s="6"/>
      <c r="AB39" s="7">
        <f t="shared" si="31"/>
        <v>0</v>
      </c>
      <c r="AC39" s="6"/>
      <c r="AD39" s="7">
        <f t="shared" si="32"/>
        <v>0</v>
      </c>
      <c r="AE39" s="8">
        <f t="shared" si="33"/>
        <v>0</v>
      </c>
      <c r="AF39" s="6">
        <f t="shared" si="34"/>
        <v>0</v>
      </c>
      <c r="AG39" s="6">
        <f t="shared" si="35"/>
        <v>29</v>
      </c>
      <c r="AH39" s="13">
        <f t="shared" si="36"/>
        <v>0</v>
      </c>
    </row>
    <row r="40" spans="1:34" x14ac:dyDescent="0.3">
      <c r="A40" s="5">
        <f t="shared" si="19"/>
        <v>30</v>
      </c>
      <c r="B40" s="6"/>
      <c r="C40" s="6"/>
      <c r="D40" s="6"/>
      <c r="E40" s="6"/>
      <c r="F40" s="7">
        <f t="shared" si="20"/>
        <v>0</v>
      </c>
      <c r="G40" s="6"/>
      <c r="H40" s="7">
        <f t="shared" si="21"/>
        <v>0</v>
      </c>
      <c r="I40" s="6"/>
      <c r="J40" s="7">
        <f t="shared" si="22"/>
        <v>0</v>
      </c>
      <c r="K40" s="6"/>
      <c r="L40" s="7">
        <f t="shared" si="23"/>
        <v>0</v>
      </c>
      <c r="M40" s="6"/>
      <c r="N40" s="7">
        <f t="shared" si="24"/>
        <v>0</v>
      </c>
      <c r="O40" s="6"/>
      <c r="P40" s="7">
        <f t="shared" si="25"/>
        <v>0</v>
      </c>
      <c r="Q40" s="6"/>
      <c r="R40" s="7">
        <f t="shared" si="26"/>
        <v>0</v>
      </c>
      <c r="S40" s="6"/>
      <c r="T40" s="7">
        <f t="shared" si="27"/>
        <v>0</v>
      </c>
      <c r="U40" s="6"/>
      <c r="V40" s="7">
        <f t="shared" si="28"/>
        <v>0</v>
      </c>
      <c r="W40" s="6"/>
      <c r="X40" s="7">
        <f t="shared" si="29"/>
        <v>0</v>
      </c>
      <c r="Y40" s="6"/>
      <c r="Z40" s="7">
        <f t="shared" si="30"/>
        <v>0</v>
      </c>
      <c r="AA40" s="6"/>
      <c r="AB40" s="7">
        <f t="shared" si="31"/>
        <v>0</v>
      </c>
      <c r="AC40" s="6"/>
      <c r="AD40" s="7">
        <f t="shared" si="32"/>
        <v>0</v>
      </c>
      <c r="AE40" s="8">
        <f t="shared" si="33"/>
        <v>0</v>
      </c>
      <c r="AF40" s="6">
        <f t="shared" si="34"/>
        <v>0</v>
      </c>
      <c r="AG40" s="6">
        <f t="shared" si="35"/>
        <v>30</v>
      </c>
      <c r="AH40" s="13">
        <f t="shared" si="36"/>
        <v>0</v>
      </c>
    </row>
    <row r="41" spans="1:34" x14ac:dyDescent="0.3">
      <c r="A41" s="5">
        <f t="shared" si="19"/>
        <v>31</v>
      </c>
      <c r="B41" s="6"/>
      <c r="C41" s="6"/>
      <c r="D41" s="6"/>
      <c r="E41" s="6"/>
      <c r="F41" s="7">
        <f t="shared" si="20"/>
        <v>0</v>
      </c>
      <c r="G41" s="6"/>
      <c r="H41" s="7">
        <f t="shared" si="21"/>
        <v>0</v>
      </c>
      <c r="I41" s="6"/>
      <c r="J41" s="7">
        <f t="shared" si="22"/>
        <v>0</v>
      </c>
      <c r="K41" s="6"/>
      <c r="L41" s="7">
        <f t="shared" si="23"/>
        <v>0</v>
      </c>
      <c r="M41" s="6"/>
      <c r="N41" s="7">
        <f t="shared" si="24"/>
        <v>0</v>
      </c>
      <c r="O41" s="6"/>
      <c r="P41" s="7">
        <f t="shared" si="25"/>
        <v>0</v>
      </c>
      <c r="Q41" s="6"/>
      <c r="R41" s="7">
        <f t="shared" si="26"/>
        <v>0</v>
      </c>
      <c r="S41" s="6"/>
      <c r="T41" s="7">
        <f t="shared" si="27"/>
        <v>0</v>
      </c>
      <c r="U41" s="6"/>
      <c r="V41" s="7">
        <f t="shared" si="28"/>
        <v>0</v>
      </c>
      <c r="W41" s="6"/>
      <c r="X41" s="7">
        <f t="shared" si="29"/>
        <v>0</v>
      </c>
      <c r="Y41" s="6"/>
      <c r="Z41" s="7">
        <f t="shared" si="30"/>
        <v>0</v>
      </c>
      <c r="AA41" s="6"/>
      <c r="AB41" s="7">
        <f t="shared" si="31"/>
        <v>0</v>
      </c>
      <c r="AC41" s="6"/>
      <c r="AD41" s="7">
        <f t="shared" si="32"/>
        <v>0</v>
      </c>
      <c r="AE41" s="8">
        <f t="shared" si="33"/>
        <v>0</v>
      </c>
      <c r="AF41" s="6">
        <f t="shared" si="34"/>
        <v>0</v>
      </c>
      <c r="AG41" s="6">
        <f t="shared" si="35"/>
        <v>31</v>
      </c>
      <c r="AH41" s="13">
        <f t="shared" si="36"/>
        <v>0</v>
      </c>
    </row>
    <row r="42" spans="1:34" x14ac:dyDescent="0.3">
      <c r="A42" s="5">
        <f t="shared" si="19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21"/>
        <v>0</v>
      </c>
      <c r="I42" s="6"/>
      <c r="J42" s="7">
        <f t="shared" si="22"/>
        <v>0</v>
      </c>
      <c r="K42" s="6"/>
      <c r="L42" s="7">
        <f t="shared" si="23"/>
        <v>0</v>
      </c>
      <c r="M42" s="6"/>
      <c r="N42" s="7">
        <f t="shared" si="24"/>
        <v>0</v>
      </c>
      <c r="O42" s="6"/>
      <c r="P42" s="7">
        <f t="shared" si="25"/>
        <v>0</v>
      </c>
      <c r="Q42" s="6"/>
      <c r="R42" s="7">
        <f t="shared" si="26"/>
        <v>0</v>
      </c>
      <c r="S42" s="6"/>
      <c r="T42" s="7">
        <f t="shared" si="27"/>
        <v>0</v>
      </c>
      <c r="U42" s="6"/>
      <c r="V42" s="7">
        <f t="shared" si="28"/>
        <v>0</v>
      </c>
      <c r="W42" s="6"/>
      <c r="X42" s="7">
        <f t="shared" si="29"/>
        <v>0</v>
      </c>
      <c r="Y42" s="6"/>
      <c r="Z42" s="7">
        <f t="shared" si="30"/>
        <v>0</v>
      </c>
      <c r="AA42" s="6"/>
      <c r="AB42" s="7">
        <f t="shared" si="31"/>
        <v>0</v>
      </c>
      <c r="AC42" s="6"/>
      <c r="AD42" s="7">
        <f t="shared" si="32"/>
        <v>0</v>
      </c>
      <c r="AE42" s="8">
        <f t="shared" si="33"/>
        <v>0</v>
      </c>
      <c r="AF42" s="6">
        <f t="shared" si="34"/>
        <v>0</v>
      </c>
      <c r="AG42" s="6">
        <f t="shared" si="35"/>
        <v>32</v>
      </c>
      <c r="AH42" s="13">
        <f t="shared" si="36"/>
        <v>0</v>
      </c>
    </row>
    <row r="43" spans="1:34" x14ac:dyDescent="0.3">
      <c r="A43" s="5">
        <f t="shared" si="19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21"/>
        <v>0</v>
      </c>
      <c r="I43" s="6"/>
      <c r="J43" s="7">
        <f t="shared" si="22"/>
        <v>0</v>
      </c>
      <c r="K43" s="6"/>
      <c r="L43" s="7">
        <f t="shared" si="23"/>
        <v>0</v>
      </c>
      <c r="M43" s="6"/>
      <c r="N43" s="7">
        <f t="shared" si="24"/>
        <v>0</v>
      </c>
      <c r="O43" s="6"/>
      <c r="P43" s="7">
        <f t="shared" si="25"/>
        <v>0</v>
      </c>
      <c r="Q43" s="6"/>
      <c r="R43" s="7">
        <f t="shared" si="26"/>
        <v>0</v>
      </c>
      <c r="S43" s="6"/>
      <c r="T43" s="7">
        <f t="shared" si="27"/>
        <v>0</v>
      </c>
      <c r="U43" s="6"/>
      <c r="V43" s="7">
        <f t="shared" si="28"/>
        <v>0</v>
      </c>
      <c r="W43" s="6"/>
      <c r="X43" s="7">
        <f t="shared" si="29"/>
        <v>0</v>
      </c>
      <c r="Y43" s="6"/>
      <c r="Z43" s="7">
        <f t="shared" si="30"/>
        <v>0</v>
      </c>
      <c r="AA43" s="6"/>
      <c r="AB43" s="7">
        <f t="shared" si="31"/>
        <v>0</v>
      </c>
      <c r="AC43" s="6"/>
      <c r="AD43" s="7">
        <f t="shared" si="32"/>
        <v>0</v>
      </c>
      <c r="AE43" s="8">
        <f t="shared" si="33"/>
        <v>0</v>
      </c>
      <c r="AF43" s="6">
        <f t="shared" si="34"/>
        <v>0</v>
      </c>
      <c r="AG43" s="6">
        <f t="shared" si="35"/>
        <v>33</v>
      </c>
      <c r="AH43" s="13">
        <f t="shared" si="36"/>
        <v>0</v>
      </c>
    </row>
    <row r="44" spans="1:34" x14ac:dyDescent="0.3">
      <c r="A44" s="5">
        <f t="shared" si="19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21"/>
        <v>0</v>
      </c>
      <c r="I44" s="6"/>
      <c r="J44" s="7">
        <f t="shared" si="22"/>
        <v>0</v>
      </c>
      <c r="K44" s="6"/>
      <c r="L44" s="7">
        <f t="shared" si="23"/>
        <v>0</v>
      </c>
      <c r="M44" s="6"/>
      <c r="N44" s="7">
        <f t="shared" si="24"/>
        <v>0</v>
      </c>
      <c r="O44" s="6"/>
      <c r="P44" s="7">
        <f t="shared" si="25"/>
        <v>0</v>
      </c>
      <c r="Q44" s="6"/>
      <c r="R44" s="7">
        <f t="shared" si="26"/>
        <v>0</v>
      </c>
      <c r="S44" s="6"/>
      <c r="T44" s="7">
        <f t="shared" si="27"/>
        <v>0</v>
      </c>
      <c r="U44" s="6"/>
      <c r="V44" s="7">
        <f t="shared" si="28"/>
        <v>0</v>
      </c>
      <c r="W44" s="6"/>
      <c r="X44" s="7">
        <f t="shared" si="29"/>
        <v>0</v>
      </c>
      <c r="Y44" s="6"/>
      <c r="Z44" s="7">
        <f t="shared" si="30"/>
        <v>0</v>
      </c>
      <c r="AA44" s="6"/>
      <c r="AB44" s="7">
        <f t="shared" si="31"/>
        <v>0</v>
      </c>
      <c r="AC44" s="6"/>
      <c r="AD44" s="7">
        <f t="shared" si="32"/>
        <v>0</v>
      </c>
      <c r="AE44" s="8">
        <f t="shared" si="33"/>
        <v>0</v>
      </c>
      <c r="AF44" s="6">
        <f t="shared" si="34"/>
        <v>0</v>
      </c>
      <c r="AG44" s="6">
        <f t="shared" si="35"/>
        <v>34</v>
      </c>
      <c r="AH44" s="13">
        <f t="shared" si="36"/>
        <v>0</v>
      </c>
    </row>
    <row r="45" spans="1:34" x14ac:dyDescent="0.3">
      <c r="A45" s="5">
        <f t="shared" si="19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21"/>
        <v>0</v>
      </c>
      <c r="I45" s="6"/>
      <c r="J45" s="7">
        <f t="shared" si="22"/>
        <v>0</v>
      </c>
      <c r="K45" s="6"/>
      <c r="L45" s="7">
        <f t="shared" si="23"/>
        <v>0</v>
      </c>
      <c r="M45" s="6"/>
      <c r="N45" s="7">
        <f t="shared" si="24"/>
        <v>0</v>
      </c>
      <c r="O45" s="6"/>
      <c r="P45" s="7">
        <f t="shared" si="25"/>
        <v>0</v>
      </c>
      <c r="Q45" s="6"/>
      <c r="R45" s="7">
        <f t="shared" si="26"/>
        <v>0</v>
      </c>
      <c r="S45" s="6"/>
      <c r="T45" s="7">
        <f t="shared" si="27"/>
        <v>0</v>
      </c>
      <c r="U45" s="6"/>
      <c r="V45" s="7">
        <f t="shared" si="28"/>
        <v>0</v>
      </c>
      <c r="W45" s="6"/>
      <c r="X45" s="7">
        <f t="shared" si="29"/>
        <v>0</v>
      </c>
      <c r="Y45" s="6"/>
      <c r="Z45" s="7">
        <f t="shared" si="30"/>
        <v>0</v>
      </c>
      <c r="AA45" s="6"/>
      <c r="AB45" s="7">
        <f t="shared" si="31"/>
        <v>0</v>
      </c>
      <c r="AC45" s="6"/>
      <c r="AD45" s="7">
        <f t="shared" si="32"/>
        <v>0</v>
      </c>
      <c r="AE45" s="8">
        <f t="shared" si="33"/>
        <v>0</v>
      </c>
      <c r="AF45" s="6">
        <f t="shared" si="34"/>
        <v>0</v>
      </c>
      <c r="AG45" s="6">
        <f t="shared" si="35"/>
        <v>35</v>
      </c>
      <c r="AH45" s="13">
        <f t="shared" si="36"/>
        <v>0</v>
      </c>
    </row>
    <row r="46" spans="1:34" x14ac:dyDescent="0.3">
      <c r="A46" s="27" t="s">
        <v>237</v>
      </c>
      <c r="B46" s="27"/>
      <c r="C46" s="28"/>
      <c r="E46">
        <f>COUNTA(E11:E45)</f>
        <v>14</v>
      </c>
      <c r="G46">
        <f>COUNTA(G11:G45)</f>
        <v>13</v>
      </c>
      <c r="I46">
        <f>COUNTA(I11:I45)</f>
        <v>1</v>
      </c>
      <c r="K46">
        <f>COUNTA(K11:K45)</f>
        <v>9</v>
      </c>
      <c r="M46">
        <f>COUNTA(M11:M45)</f>
        <v>13</v>
      </c>
      <c r="O46">
        <f>COUNTA(O11:O45)</f>
        <v>2</v>
      </c>
      <c r="Q46">
        <f>COUNTA(Q11:Q45)</f>
        <v>11</v>
      </c>
      <c r="S46">
        <f>COUNTA(S11:S45)</f>
        <v>8</v>
      </c>
      <c r="U46">
        <f>COUNTA(U11:U45)</f>
        <v>10</v>
      </c>
      <c r="W46">
        <f>COUNTA(W11:W45)</f>
        <v>16</v>
      </c>
      <c r="Y46">
        <f>COUNTA(Y11:Y45)</f>
        <v>11</v>
      </c>
      <c r="AA46">
        <f>COUNTA(AA11:AA45)</f>
        <v>8</v>
      </c>
      <c r="AC46">
        <f>COUNTA(AC11:AC45)</f>
        <v>12</v>
      </c>
    </row>
    <row r="47" spans="1:34" x14ac:dyDescent="0.3">
      <c r="A47" s="30" t="s">
        <v>35</v>
      </c>
      <c r="B47" s="30"/>
      <c r="C47" s="30"/>
      <c r="E47" s="12">
        <f>E46/$G$2</f>
        <v>0.60869565217391308</v>
      </c>
      <c r="G47" s="12">
        <f>G46/$G$2</f>
        <v>0.56521739130434778</v>
      </c>
      <c r="I47" s="12">
        <f>I46/$G$2</f>
        <v>4.3478260869565216E-2</v>
      </c>
      <c r="K47" s="12">
        <f>K46/$G$2</f>
        <v>0.39130434782608697</v>
      </c>
      <c r="M47" s="12">
        <f>M46/$G$2</f>
        <v>0.56521739130434778</v>
      </c>
      <c r="O47" s="12">
        <f>O46/$G$2</f>
        <v>8.6956521739130432E-2</v>
      </c>
      <c r="Q47" s="12">
        <f>Q46/$G$2</f>
        <v>0.47826086956521741</v>
      </c>
      <c r="S47" s="12">
        <f>S46/$G$2</f>
        <v>0.34782608695652173</v>
      </c>
      <c r="U47" s="12">
        <f>U46/$G$2</f>
        <v>0.43478260869565216</v>
      </c>
      <c r="W47" s="12">
        <f>W46/$G$2</f>
        <v>0.69565217391304346</v>
      </c>
      <c r="Y47" s="12">
        <f>Y46/$G$2</f>
        <v>0.47826086956521741</v>
      </c>
      <c r="AA47" s="12">
        <f>AA46/$G$2</f>
        <v>0.34782608695652173</v>
      </c>
      <c r="AC47" s="12">
        <f>AC46/$G$2</f>
        <v>0.52173913043478259</v>
      </c>
    </row>
  </sheetData>
  <sortState xmlns:xlrd2="http://schemas.microsoft.com/office/spreadsheetml/2017/richdata2" ref="A11:AH33">
    <sortCondition descending="1" ref="AE11:AE33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9"/>
  <sheetViews>
    <sheetView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I29" sqref="I29"/>
    </sheetView>
  </sheetViews>
  <sheetFormatPr baseColWidth="10" defaultColWidth="11.44140625" defaultRowHeight="14.4" x14ac:dyDescent="0.3"/>
  <cols>
    <col min="1" max="1" width="18.33203125" bestFit="1" customWidth="1"/>
    <col min="2" max="2" width="22.6640625" bestFit="1" customWidth="1"/>
    <col min="3" max="3" width="28.44140625" customWidth="1"/>
    <col min="4" max="4" width="17.44140625" customWidth="1"/>
    <col min="5" max="5" width="14.88671875" customWidth="1"/>
    <col min="6" max="6" width="4.109375" customWidth="1"/>
    <col min="7" max="7" width="10" customWidth="1"/>
    <col min="8" max="8" width="6.44140625" customWidth="1"/>
    <col min="9" max="9" width="12.109375" customWidth="1"/>
    <col min="10" max="10" width="5.109375" customWidth="1"/>
    <col min="11" max="11" width="8.6640625" customWidth="1"/>
    <col min="12" max="12" width="9.109375" customWidth="1"/>
    <col min="13" max="13" width="8.33203125" customWidth="1"/>
    <col min="14" max="14" width="7.44140625" customWidth="1"/>
    <col min="15" max="15" width="7.6640625" customWidth="1"/>
    <col min="16" max="16" width="9.109375" customWidth="1"/>
    <col min="17" max="17" width="4.88671875" customWidth="1"/>
    <col min="18" max="18" width="8.88671875" customWidth="1"/>
    <col min="19" max="19" width="18.44140625" bestFit="1" customWidth="1"/>
    <col min="20" max="20" width="11.4414062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.2" x14ac:dyDescent="0.6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2" x14ac:dyDescent="0.3">
      <c r="E2" s="31" t="s">
        <v>32</v>
      </c>
      <c r="F2" s="31"/>
      <c r="G2" s="11">
        <f>COUNTA(B11:B54)</f>
        <v>44</v>
      </c>
    </row>
    <row r="3" spans="1:22" x14ac:dyDescent="0.3">
      <c r="E3" s="31" t="s">
        <v>33</v>
      </c>
      <c r="F3" s="31"/>
      <c r="G3" s="11">
        <f>COUNTA(G8:R8)</f>
        <v>6</v>
      </c>
    </row>
    <row r="4" spans="1:22" x14ac:dyDescent="0.3">
      <c r="A4" s="9"/>
      <c r="B4" s="35" t="s">
        <v>23</v>
      </c>
      <c r="C4" s="35"/>
      <c r="D4" s="3"/>
    </row>
    <row r="6" spans="1:22" x14ac:dyDescent="0.3">
      <c r="D6" s="1" t="s">
        <v>0</v>
      </c>
      <c r="E6" s="26" t="s">
        <v>570</v>
      </c>
      <c r="F6" s="26"/>
      <c r="G6" s="26" t="s">
        <v>571</v>
      </c>
      <c r="H6" s="26"/>
      <c r="I6" s="26" t="s">
        <v>434</v>
      </c>
      <c r="J6" s="26"/>
      <c r="K6" s="26" t="s">
        <v>304</v>
      </c>
      <c r="L6" s="26"/>
      <c r="M6" s="26" t="s">
        <v>567</v>
      </c>
      <c r="N6" s="26"/>
      <c r="O6" s="26" t="s">
        <v>44</v>
      </c>
      <c r="P6" s="26"/>
      <c r="Q6" s="26" t="s">
        <v>534</v>
      </c>
      <c r="R6" s="26"/>
    </row>
    <row r="7" spans="1:22" x14ac:dyDescent="0.3">
      <c r="D7" s="1" t="s">
        <v>10</v>
      </c>
      <c r="E7" s="23">
        <v>2</v>
      </c>
      <c r="F7" s="24"/>
      <c r="G7" s="23">
        <v>2</v>
      </c>
      <c r="H7" s="24"/>
      <c r="I7" s="23">
        <v>3</v>
      </c>
      <c r="J7" s="24"/>
      <c r="K7" s="23">
        <v>4</v>
      </c>
      <c r="L7" s="24"/>
      <c r="M7" s="23">
        <v>3</v>
      </c>
      <c r="N7" s="24"/>
      <c r="O7" s="23">
        <v>5</v>
      </c>
      <c r="P7" s="24"/>
      <c r="Q7" s="23">
        <v>6</v>
      </c>
      <c r="R7" s="24"/>
    </row>
    <row r="8" spans="1:22" x14ac:dyDescent="0.3">
      <c r="D8" s="1" t="s">
        <v>1</v>
      </c>
      <c r="E8" s="29">
        <v>45607</v>
      </c>
      <c r="F8" s="29"/>
      <c r="G8" s="29">
        <v>45613</v>
      </c>
      <c r="H8" s="29"/>
      <c r="I8" s="29">
        <v>45263</v>
      </c>
      <c r="J8" s="29"/>
      <c r="K8" s="29">
        <v>45326</v>
      </c>
      <c r="L8" s="29"/>
      <c r="M8" s="29">
        <v>45367</v>
      </c>
      <c r="N8" s="29"/>
      <c r="O8" s="29">
        <v>45375</v>
      </c>
      <c r="P8" s="29"/>
      <c r="Q8" s="29">
        <v>45458</v>
      </c>
      <c r="R8" s="29"/>
      <c r="U8" s="11"/>
    </row>
    <row r="9" spans="1:22" x14ac:dyDescent="0.3">
      <c r="D9" s="1" t="s">
        <v>2</v>
      </c>
      <c r="E9" s="23">
        <v>18</v>
      </c>
      <c r="F9" s="24"/>
      <c r="G9" s="23">
        <v>34</v>
      </c>
      <c r="H9" s="24"/>
      <c r="I9" s="23">
        <v>35</v>
      </c>
      <c r="J9" s="24"/>
      <c r="K9" s="23">
        <v>191</v>
      </c>
      <c r="L9" s="24"/>
      <c r="M9" s="23">
        <v>33</v>
      </c>
      <c r="N9" s="24"/>
      <c r="O9" s="23">
        <v>191</v>
      </c>
      <c r="P9" s="24"/>
      <c r="Q9" s="23"/>
      <c r="R9" s="2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34</v>
      </c>
      <c r="V10" s="1" t="s">
        <v>36</v>
      </c>
    </row>
    <row r="11" spans="1:22" x14ac:dyDescent="0.3">
      <c r="A11" s="5">
        <f t="shared" ref="A11:A54" si="0">T11</f>
        <v>1</v>
      </c>
      <c r="B11" s="6" t="s">
        <v>408</v>
      </c>
      <c r="C11" s="6" t="s">
        <v>347</v>
      </c>
      <c r="D11" s="6" t="s">
        <v>397</v>
      </c>
      <c r="E11" s="6">
        <v>1</v>
      </c>
      <c r="F11" s="7">
        <f t="shared" ref="F11:F31" si="1">IF(E11=0,,($E$9-E11)*$E$7*100/$E$9)</f>
        <v>188.88888888888889</v>
      </c>
      <c r="G11" s="6">
        <v>1</v>
      </c>
      <c r="H11" s="7">
        <f t="shared" ref="H11:H47" si="2">IF(G11=0,,($G$9-G11)*$G$7*100/$G$9)</f>
        <v>194.11764705882354</v>
      </c>
      <c r="I11" s="6">
        <v>1</v>
      </c>
      <c r="J11" s="7">
        <f t="shared" ref="J11:J52" si="3">IF(I11=0,,($I$9-I11)*$I$7*100/$I$9)</f>
        <v>291.42857142857144</v>
      </c>
      <c r="K11" s="6">
        <v>36</v>
      </c>
      <c r="L11" s="7">
        <f t="shared" ref="L11:L54" si="4">IF(K11=0,,($K$9-K11)*$K$7*100/$K$9)</f>
        <v>324.60732984293196</v>
      </c>
      <c r="M11" s="6">
        <v>1</v>
      </c>
      <c r="N11" s="7">
        <f t="shared" ref="N11:N52" si="5">IF(M11=0,,($M$9-M11)*$M$7*100/$M$9)</f>
        <v>290.90909090909093</v>
      </c>
      <c r="O11" s="14">
        <v>3</v>
      </c>
      <c r="P11" s="7">
        <f t="shared" ref="P11:P54" si="6">IF(O11=0,,($O$9-O11)*$O$7*100/$O$9)</f>
        <v>492.14659685863876</v>
      </c>
      <c r="Q11" s="14"/>
      <c r="R11" s="7">
        <f t="shared" ref="R11:R54" si="7">IF(Q11=0,,($Q$9-Q11)*$Q$7*100/$Q$9)</f>
        <v>0</v>
      </c>
      <c r="S11" s="8">
        <f>P11+J11+L11+N11</f>
        <v>1399.0915890392332</v>
      </c>
      <c r="T11" s="6">
        <f t="shared" ref="T11:T54" si="8">ROW(B11)-10</f>
        <v>1</v>
      </c>
      <c r="U11" s="6">
        <f t="shared" ref="U11:U54" si="9">COUNTA(G11,I11,K11,M11,Q11,O11,E11)</f>
        <v>6</v>
      </c>
      <c r="V11" s="13">
        <f t="shared" ref="V11:V54" si="10">U11/$G$3</f>
        <v>1</v>
      </c>
    </row>
    <row r="12" spans="1:22" x14ac:dyDescent="0.3">
      <c r="A12" s="5">
        <f t="shared" si="0"/>
        <v>2</v>
      </c>
      <c r="B12" s="6" t="s">
        <v>61</v>
      </c>
      <c r="C12" s="6" t="s">
        <v>62</v>
      </c>
      <c r="D12" s="6" t="s">
        <v>397</v>
      </c>
      <c r="E12" s="6">
        <v>2</v>
      </c>
      <c r="F12" s="7">
        <f t="shared" si="1"/>
        <v>177.77777777777777</v>
      </c>
      <c r="G12" s="6">
        <v>4</v>
      </c>
      <c r="H12" s="7">
        <f t="shared" si="2"/>
        <v>176.47058823529412</v>
      </c>
      <c r="I12" s="6">
        <v>3</v>
      </c>
      <c r="J12" s="7">
        <f t="shared" si="3"/>
        <v>274.28571428571428</v>
      </c>
      <c r="K12" s="6">
        <v>33</v>
      </c>
      <c r="L12" s="7">
        <f t="shared" si="4"/>
        <v>330.89005235602093</v>
      </c>
      <c r="M12" s="6">
        <v>2</v>
      </c>
      <c r="N12" s="7">
        <f t="shared" si="5"/>
        <v>281.81818181818181</v>
      </c>
      <c r="O12" s="14">
        <v>6</v>
      </c>
      <c r="P12" s="7">
        <f t="shared" si="6"/>
        <v>484.29319371727746</v>
      </c>
      <c r="Q12" s="14"/>
      <c r="R12" s="7">
        <f t="shared" si="7"/>
        <v>0</v>
      </c>
      <c r="S12" s="8">
        <f>P12+J12+L12+N12</f>
        <v>1371.2871421771945</v>
      </c>
      <c r="T12" s="6">
        <f t="shared" si="8"/>
        <v>2</v>
      </c>
      <c r="U12" s="6">
        <f t="shared" si="9"/>
        <v>6</v>
      </c>
      <c r="V12" s="13">
        <f t="shared" si="10"/>
        <v>1</v>
      </c>
    </row>
    <row r="13" spans="1:22" x14ac:dyDescent="0.3">
      <c r="A13" s="5">
        <f t="shared" si="0"/>
        <v>3</v>
      </c>
      <c r="B13" s="6" t="s">
        <v>63</v>
      </c>
      <c r="C13" s="6" t="s">
        <v>435</v>
      </c>
      <c r="D13" s="6" t="s">
        <v>65</v>
      </c>
      <c r="E13" s="6"/>
      <c r="F13" s="7">
        <f t="shared" si="1"/>
        <v>0</v>
      </c>
      <c r="G13" s="6">
        <v>2</v>
      </c>
      <c r="H13" s="7">
        <f t="shared" si="2"/>
        <v>188.23529411764707</v>
      </c>
      <c r="I13" s="6">
        <v>3</v>
      </c>
      <c r="J13" s="7">
        <f t="shared" si="3"/>
        <v>274.28571428571428</v>
      </c>
      <c r="K13" s="6">
        <v>12</v>
      </c>
      <c r="L13" s="7">
        <f t="shared" si="4"/>
        <v>374.86910994764401</v>
      </c>
      <c r="M13" s="6">
        <v>3</v>
      </c>
      <c r="N13" s="7">
        <f t="shared" si="5"/>
        <v>272.72727272727275</v>
      </c>
      <c r="O13" s="6">
        <v>23</v>
      </c>
      <c r="P13" s="7">
        <f t="shared" si="6"/>
        <v>439.79057591623035</v>
      </c>
      <c r="Q13" s="6"/>
      <c r="R13" s="7">
        <f t="shared" si="7"/>
        <v>0</v>
      </c>
      <c r="S13" s="8">
        <f>P13+L13+N13+J13</f>
        <v>1361.6726728768613</v>
      </c>
      <c r="T13" s="6">
        <f t="shared" si="8"/>
        <v>3</v>
      </c>
      <c r="U13" s="6">
        <f t="shared" si="9"/>
        <v>5</v>
      </c>
      <c r="V13" s="13">
        <f t="shared" si="10"/>
        <v>0.83333333333333337</v>
      </c>
    </row>
    <row r="14" spans="1:22" x14ac:dyDescent="0.3">
      <c r="A14" s="5">
        <f t="shared" si="0"/>
        <v>4</v>
      </c>
      <c r="B14" s="6" t="s">
        <v>54</v>
      </c>
      <c r="C14" s="6" t="s">
        <v>55</v>
      </c>
      <c r="D14" s="6" t="s">
        <v>397</v>
      </c>
      <c r="E14" s="6"/>
      <c r="F14" s="7">
        <f t="shared" si="1"/>
        <v>0</v>
      </c>
      <c r="G14" s="6">
        <v>8</v>
      </c>
      <c r="H14" s="7">
        <f t="shared" si="2"/>
        <v>152.94117647058823</v>
      </c>
      <c r="I14" s="6">
        <v>7</v>
      </c>
      <c r="J14" s="7">
        <f t="shared" si="3"/>
        <v>240</v>
      </c>
      <c r="K14" s="6">
        <v>40</v>
      </c>
      <c r="L14" s="7">
        <f t="shared" si="4"/>
        <v>316.23036649214657</v>
      </c>
      <c r="M14" s="6">
        <v>10</v>
      </c>
      <c r="N14" s="7">
        <f t="shared" si="5"/>
        <v>209.09090909090909</v>
      </c>
      <c r="O14" s="6">
        <v>52</v>
      </c>
      <c r="P14" s="7">
        <f t="shared" si="6"/>
        <v>363.87434554973822</v>
      </c>
      <c r="Q14" s="6"/>
      <c r="R14" s="7">
        <f t="shared" si="7"/>
        <v>0</v>
      </c>
      <c r="S14" s="8">
        <f>P14+N14+L14+J14</f>
        <v>1129.1956211327938</v>
      </c>
      <c r="T14" s="6">
        <f t="shared" si="8"/>
        <v>4</v>
      </c>
      <c r="U14" s="6">
        <f t="shared" si="9"/>
        <v>5</v>
      </c>
      <c r="V14" s="13">
        <f t="shared" si="10"/>
        <v>0.83333333333333337</v>
      </c>
    </row>
    <row r="15" spans="1:22" x14ac:dyDescent="0.3">
      <c r="A15" s="5">
        <f t="shared" si="0"/>
        <v>5</v>
      </c>
      <c r="B15" s="6" t="s">
        <v>51</v>
      </c>
      <c r="C15" s="6" t="s">
        <v>50</v>
      </c>
      <c r="D15" s="6" t="s">
        <v>49</v>
      </c>
      <c r="E15" s="6"/>
      <c r="F15" s="7">
        <f t="shared" si="1"/>
        <v>0</v>
      </c>
      <c r="G15" s="6"/>
      <c r="H15" s="7">
        <f t="shared" si="2"/>
        <v>0</v>
      </c>
      <c r="I15" s="6">
        <v>2</v>
      </c>
      <c r="J15" s="7">
        <f t="shared" si="3"/>
        <v>282.85714285714283</v>
      </c>
      <c r="K15" s="6">
        <v>13</v>
      </c>
      <c r="L15" s="7">
        <f t="shared" si="4"/>
        <v>372.77486910994764</v>
      </c>
      <c r="M15" s="6"/>
      <c r="N15" s="7">
        <f t="shared" si="5"/>
        <v>0</v>
      </c>
      <c r="O15" s="14">
        <v>11</v>
      </c>
      <c r="P15" s="7">
        <f t="shared" si="6"/>
        <v>471.20418848167537</v>
      </c>
      <c r="Q15" s="14"/>
      <c r="R15" s="7">
        <f t="shared" si="7"/>
        <v>0</v>
      </c>
      <c r="S15" s="8">
        <f>P15+R15+L15+N15+J15+H15+F15</f>
        <v>1126.8362004487658</v>
      </c>
      <c r="T15" s="6">
        <f t="shared" si="8"/>
        <v>5</v>
      </c>
      <c r="U15" s="6">
        <f t="shared" si="9"/>
        <v>3</v>
      </c>
      <c r="V15" s="13">
        <f t="shared" si="10"/>
        <v>0.5</v>
      </c>
    </row>
    <row r="16" spans="1:22" x14ac:dyDescent="0.3">
      <c r="A16" s="5">
        <f t="shared" si="0"/>
        <v>6</v>
      </c>
      <c r="B16" s="6" t="s">
        <v>174</v>
      </c>
      <c r="C16" s="6" t="s">
        <v>175</v>
      </c>
      <c r="D16" s="6" t="s">
        <v>58</v>
      </c>
      <c r="E16" s="6"/>
      <c r="F16" s="7">
        <f t="shared" si="1"/>
        <v>0</v>
      </c>
      <c r="G16" s="6">
        <v>22</v>
      </c>
      <c r="H16" s="7">
        <f t="shared" si="2"/>
        <v>70.588235294117652</v>
      </c>
      <c r="I16" s="6">
        <v>12</v>
      </c>
      <c r="J16" s="7">
        <f t="shared" si="3"/>
        <v>197.14285714285714</v>
      </c>
      <c r="K16" s="6">
        <v>24</v>
      </c>
      <c r="L16" s="7">
        <f t="shared" si="4"/>
        <v>349.73821989528795</v>
      </c>
      <c r="M16" s="6">
        <v>5</v>
      </c>
      <c r="N16" s="7">
        <f t="shared" si="5"/>
        <v>254.54545454545453</v>
      </c>
      <c r="O16" s="6">
        <v>91</v>
      </c>
      <c r="P16" s="7">
        <f t="shared" si="6"/>
        <v>261.78010471204186</v>
      </c>
      <c r="Q16" s="6"/>
      <c r="R16" s="7">
        <f t="shared" si="7"/>
        <v>0</v>
      </c>
      <c r="S16" s="8">
        <f>P16+N16+L16+J16</f>
        <v>1063.2066362956414</v>
      </c>
      <c r="T16" s="6">
        <f t="shared" si="8"/>
        <v>6</v>
      </c>
      <c r="U16" s="6">
        <f t="shared" si="9"/>
        <v>5</v>
      </c>
      <c r="V16" s="13">
        <f t="shared" si="10"/>
        <v>0.83333333333333337</v>
      </c>
    </row>
    <row r="17" spans="1:22" x14ac:dyDescent="0.3">
      <c r="A17" s="5">
        <f t="shared" si="0"/>
        <v>7</v>
      </c>
      <c r="B17" s="6" t="s">
        <v>343</v>
      </c>
      <c r="C17" s="6" t="s">
        <v>344</v>
      </c>
      <c r="D17" s="6" t="s">
        <v>398</v>
      </c>
      <c r="E17" s="6">
        <v>5</v>
      </c>
      <c r="F17" s="7">
        <f t="shared" si="1"/>
        <v>144.44444444444446</v>
      </c>
      <c r="G17" s="6">
        <v>13</v>
      </c>
      <c r="H17" s="7">
        <f t="shared" si="2"/>
        <v>123.52941176470588</v>
      </c>
      <c r="I17" s="6">
        <v>16</v>
      </c>
      <c r="J17" s="7">
        <f t="shared" si="3"/>
        <v>162.85714285714286</v>
      </c>
      <c r="K17" s="6">
        <v>29</v>
      </c>
      <c r="L17" s="7">
        <f t="shared" si="4"/>
        <v>339.26701570680626</v>
      </c>
      <c r="M17" s="6">
        <v>3</v>
      </c>
      <c r="N17" s="7">
        <f t="shared" si="5"/>
        <v>272.72727272727275</v>
      </c>
      <c r="O17" s="14">
        <v>93</v>
      </c>
      <c r="P17" s="7">
        <f t="shared" si="6"/>
        <v>256.54450261780107</v>
      </c>
      <c r="Q17" s="14"/>
      <c r="R17" s="7">
        <f t="shared" si="7"/>
        <v>0</v>
      </c>
      <c r="S17" s="8">
        <f>N17+L17+J17+P17</f>
        <v>1031.3959339090229</v>
      </c>
      <c r="T17" s="6">
        <f t="shared" si="8"/>
        <v>7</v>
      </c>
      <c r="U17" s="6">
        <f t="shared" si="9"/>
        <v>6</v>
      </c>
      <c r="V17" s="13">
        <f t="shared" si="10"/>
        <v>1</v>
      </c>
    </row>
    <row r="18" spans="1:22" x14ac:dyDescent="0.3">
      <c r="A18" s="5">
        <f t="shared" si="0"/>
        <v>8</v>
      </c>
      <c r="B18" s="6" t="s">
        <v>59</v>
      </c>
      <c r="C18" s="6" t="s">
        <v>60</v>
      </c>
      <c r="D18" s="6" t="s">
        <v>397</v>
      </c>
      <c r="E18" s="6">
        <v>3</v>
      </c>
      <c r="F18" s="7">
        <f t="shared" si="1"/>
        <v>166.66666666666666</v>
      </c>
      <c r="G18" s="6">
        <v>18</v>
      </c>
      <c r="H18" s="7">
        <f t="shared" si="2"/>
        <v>94.117647058823536</v>
      </c>
      <c r="I18" s="6">
        <v>21</v>
      </c>
      <c r="J18" s="7">
        <f t="shared" si="3"/>
        <v>120</v>
      </c>
      <c r="K18" s="6">
        <v>74</v>
      </c>
      <c r="L18" s="7">
        <f t="shared" si="4"/>
        <v>245.0261780104712</v>
      </c>
      <c r="M18" s="6">
        <v>8</v>
      </c>
      <c r="N18" s="7">
        <f t="shared" si="5"/>
        <v>227.27272727272728</v>
      </c>
      <c r="O18" s="6">
        <v>38</v>
      </c>
      <c r="P18" s="7">
        <f t="shared" si="6"/>
        <v>400.52356020942409</v>
      </c>
      <c r="Q18" s="6"/>
      <c r="R18" s="7">
        <f t="shared" si="7"/>
        <v>0</v>
      </c>
      <c r="S18" s="8">
        <f>P18+J18+L18+N18</f>
        <v>992.82246549262254</v>
      </c>
      <c r="T18" s="6">
        <f t="shared" si="8"/>
        <v>8</v>
      </c>
      <c r="U18" s="6">
        <f t="shared" si="9"/>
        <v>6</v>
      </c>
      <c r="V18" s="13">
        <f t="shared" si="10"/>
        <v>1</v>
      </c>
    </row>
    <row r="19" spans="1:22" x14ac:dyDescent="0.3">
      <c r="A19" s="5">
        <f t="shared" si="0"/>
        <v>9</v>
      </c>
      <c r="B19" s="6" t="s">
        <v>413</v>
      </c>
      <c r="C19" s="6" t="s">
        <v>406</v>
      </c>
      <c r="D19" s="6" t="s">
        <v>72</v>
      </c>
      <c r="E19" s="6">
        <v>11</v>
      </c>
      <c r="F19" s="7">
        <f t="shared" si="1"/>
        <v>77.777777777777771</v>
      </c>
      <c r="G19" s="6"/>
      <c r="H19" s="7">
        <f t="shared" si="2"/>
        <v>0</v>
      </c>
      <c r="I19" s="6">
        <v>12</v>
      </c>
      <c r="J19" s="7">
        <f t="shared" si="3"/>
        <v>197.14285714285714</v>
      </c>
      <c r="K19" s="6">
        <v>118</v>
      </c>
      <c r="L19" s="7">
        <f t="shared" si="4"/>
        <v>152.87958115183247</v>
      </c>
      <c r="M19" s="6">
        <v>16</v>
      </c>
      <c r="N19" s="7">
        <f t="shared" si="5"/>
        <v>154.54545454545453</v>
      </c>
      <c r="O19" s="6">
        <v>70</v>
      </c>
      <c r="P19" s="7">
        <f t="shared" si="6"/>
        <v>316.75392670157066</v>
      </c>
      <c r="Q19" s="6"/>
      <c r="R19" s="7">
        <f t="shared" si="7"/>
        <v>0</v>
      </c>
      <c r="S19" s="8">
        <f>P19+N19+L19+J19</f>
        <v>821.32181954171472</v>
      </c>
      <c r="T19" s="6">
        <f t="shared" si="8"/>
        <v>9</v>
      </c>
      <c r="U19" s="6">
        <f t="shared" si="9"/>
        <v>5</v>
      </c>
      <c r="V19" s="13">
        <f t="shared" si="10"/>
        <v>0.83333333333333337</v>
      </c>
    </row>
    <row r="20" spans="1:22" x14ac:dyDescent="0.3">
      <c r="A20" s="5">
        <f t="shared" si="0"/>
        <v>10</v>
      </c>
      <c r="B20" s="6" t="s">
        <v>449</v>
      </c>
      <c r="C20" s="6" t="s">
        <v>450</v>
      </c>
      <c r="D20" s="6" t="s">
        <v>398</v>
      </c>
      <c r="E20" s="6"/>
      <c r="F20" s="7">
        <f t="shared" si="1"/>
        <v>0</v>
      </c>
      <c r="G20" s="6"/>
      <c r="H20" s="7">
        <f t="shared" si="2"/>
        <v>0</v>
      </c>
      <c r="I20" s="6">
        <v>22</v>
      </c>
      <c r="J20" s="7">
        <f t="shared" si="3"/>
        <v>111.42857142857143</v>
      </c>
      <c r="K20" s="6">
        <v>95</v>
      </c>
      <c r="L20" s="7">
        <f t="shared" si="4"/>
        <v>201.04712041884818</v>
      </c>
      <c r="M20" s="6">
        <v>11</v>
      </c>
      <c r="N20" s="7">
        <f t="shared" si="5"/>
        <v>200</v>
      </c>
      <c r="O20" s="6">
        <v>85</v>
      </c>
      <c r="P20" s="7">
        <f t="shared" si="6"/>
        <v>277.4869109947644</v>
      </c>
      <c r="Q20" s="6"/>
      <c r="R20" s="7">
        <f t="shared" si="7"/>
        <v>0</v>
      </c>
      <c r="S20" s="8">
        <f>P20+R20+L20+N20+J20+H20+F20</f>
        <v>789.96260284218408</v>
      </c>
      <c r="T20" s="6">
        <f t="shared" si="8"/>
        <v>10</v>
      </c>
      <c r="U20" s="6">
        <f t="shared" si="9"/>
        <v>4</v>
      </c>
      <c r="V20" s="13">
        <f t="shared" si="10"/>
        <v>0.66666666666666663</v>
      </c>
    </row>
    <row r="21" spans="1:22" x14ac:dyDescent="0.3">
      <c r="A21" s="5">
        <f t="shared" si="0"/>
        <v>11</v>
      </c>
      <c r="B21" s="6" t="s">
        <v>415</v>
      </c>
      <c r="C21" s="6" t="s">
        <v>179</v>
      </c>
      <c r="D21" s="6" t="s">
        <v>397</v>
      </c>
      <c r="E21" s="6">
        <v>15</v>
      </c>
      <c r="F21" s="7">
        <f t="shared" si="1"/>
        <v>33.333333333333336</v>
      </c>
      <c r="G21" s="6"/>
      <c r="H21" s="7">
        <f t="shared" si="2"/>
        <v>0</v>
      </c>
      <c r="I21" s="6">
        <v>18</v>
      </c>
      <c r="J21" s="7">
        <f t="shared" si="3"/>
        <v>145.71428571428572</v>
      </c>
      <c r="K21" s="6">
        <v>141</v>
      </c>
      <c r="L21" s="7">
        <f t="shared" si="4"/>
        <v>104.71204188481676</v>
      </c>
      <c r="M21" s="6">
        <v>7</v>
      </c>
      <c r="N21" s="7">
        <f t="shared" si="5"/>
        <v>236.36363636363637</v>
      </c>
      <c r="O21" s="6">
        <v>102</v>
      </c>
      <c r="P21" s="7">
        <f t="shared" si="6"/>
        <v>232.98429319371726</v>
      </c>
      <c r="Q21" s="6"/>
      <c r="R21" s="7">
        <f t="shared" si="7"/>
        <v>0</v>
      </c>
      <c r="S21" s="8">
        <f>P21+N21+L21+J21</f>
        <v>719.77425715645609</v>
      </c>
      <c r="T21" s="6">
        <f t="shared" si="8"/>
        <v>11</v>
      </c>
      <c r="U21" s="6">
        <f t="shared" si="9"/>
        <v>5</v>
      </c>
      <c r="V21" s="13">
        <f t="shared" si="10"/>
        <v>0.83333333333333337</v>
      </c>
    </row>
    <row r="22" spans="1:22" x14ac:dyDescent="0.3">
      <c r="A22" s="5">
        <f t="shared" si="0"/>
        <v>12</v>
      </c>
      <c r="B22" s="6" t="s">
        <v>411</v>
      </c>
      <c r="C22" s="6" t="s">
        <v>181</v>
      </c>
      <c r="D22" s="6" t="s">
        <v>397</v>
      </c>
      <c r="E22" s="6">
        <v>9</v>
      </c>
      <c r="F22" s="7">
        <f t="shared" si="1"/>
        <v>100</v>
      </c>
      <c r="G22" s="6">
        <v>28</v>
      </c>
      <c r="H22" s="7">
        <f t="shared" si="2"/>
        <v>35.294117647058826</v>
      </c>
      <c r="I22" s="6">
        <v>9</v>
      </c>
      <c r="J22" s="7">
        <f t="shared" si="3"/>
        <v>222.85714285714286</v>
      </c>
      <c r="K22" s="6">
        <v>102</v>
      </c>
      <c r="L22" s="7">
        <f t="shared" si="4"/>
        <v>186.38743455497382</v>
      </c>
      <c r="M22" s="6">
        <v>12</v>
      </c>
      <c r="N22" s="7">
        <f t="shared" si="5"/>
        <v>190.90909090909091</v>
      </c>
      <c r="O22" s="6">
        <v>181</v>
      </c>
      <c r="P22" s="7">
        <f t="shared" si="6"/>
        <v>26.178010471204189</v>
      </c>
      <c r="Q22" s="6"/>
      <c r="R22" s="7">
        <f t="shared" si="7"/>
        <v>0</v>
      </c>
      <c r="S22" s="8">
        <f>F22+J22+L22+N22</f>
        <v>700.15366832120765</v>
      </c>
      <c r="T22" s="6">
        <f t="shared" si="8"/>
        <v>12</v>
      </c>
      <c r="U22" s="6">
        <f t="shared" si="9"/>
        <v>6</v>
      </c>
      <c r="V22" s="13">
        <f t="shared" si="10"/>
        <v>1</v>
      </c>
    </row>
    <row r="23" spans="1:22" x14ac:dyDescent="0.3">
      <c r="A23" s="5">
        <f t="shared" si="0"/>
        <v>13</v>
      </c>
      <c r="B23" s="6" t="s">
        <v>211</v>
      </c>
      <c r="C23" s="6" t="s">
        <v>183</v>
      </c>
      <c r="D23" s="6" t="s">
        <v>400</v>
      </c>
      <c r="E23" s="6">
        <v>8</v>
      </c>
      <c r="F23" s="7">
        <f t="shared" si="1"/>
        <v>111.11111111111111</v>
      </c>
      <c r="G23" s="6"/>
      <c r="H23" s="7">
        <f t="shared" si="2"/>
        <v>0</v>
      </c>
      <c r="I23" s="6">
        <v>6</v>
      </c>
      <c r="J23" s="7">
        <f t="shared" si="3"/>
        <v>248.57142857142858</v>
      </c>
      <c r="K23" s="6">
        <v>106</v>
      </c>
      <c r="L23" s="7">
        <f t="shared" si="4"/>
        <v>178.01047120418849</v>
      </c>
      <c r="M23" s="6">
        <v>17</v>
      </c>
      <c r="N23" s="7">
        <f t="shared" si="5"/>
        <v>145.45454545454547</v>
      </c>
      <c r="O23" s="6">
        <v>159</v>
      </c>
      <c r="P23" s="7">
        <f t="shared" si="6"/>
        <v>83.769633507853399</v>
      </c>
      <c r="Q23" s="6"/>
      <c r="R23" s="7">
        <f t="shared" si="7"/>
        <v>0</v>
      </c>
      <c r="S23" s="8">
        <f>F23+J23+L23+N23</f>
        <v>683.14755634127368</v>
      </c>
      <c r="T23" s="6">
        <f t="shared" si="8"/>
        <v>13</v>
      </c>
      <c r="U23" s="6">
        <f t="shared" si="9"/>
        <v>5</v>
      </c>
      <c r="V23" s="13">
        <f t="shared" si="10"/>
        <v>0.83333333333333337</v>
      </c>
    </row>
    <row r="24" spans="1:22" x14ac:dyDescent="0.3">
      <c r="A24" s="5">
        <f t="shared" si="0"/>
        <v>14</v>
      </c>
      <c r="B24" s="6" t="s">
        <v>85</v>
      </c>
      <c r="C24" s="6" t="s">
        <v>86</v>
      </c>
      <c r="D24" s="6" t="s">
        <v>72</v>
      </c>
      <c r="E24" s="6">
        <v>12</v>
      </c>
      <c r="F24" s="7">
        <f t="shared" si="1"/>
        <v>66.666666666666671</v>
      </c>
      <c r="G24" s="6">
        <v>21</v>
      </c>
      <c r="H24" s="7">
        <f t="shared" si="2"/>
        <v>76.470588235294116</v>
      </c>
      <c r="I24" s="6">
        <v>5</v>
      </c>
      <c r="J24" s="7">
        <f t="shared" si="3"/>
        <v>257.14285714285717</v>
      </c>
      <c r="K24" s="6"/>
      <c r="L24" s="7">
        <f t="shared" si="4"/>
        <v>0</v>
      </c>
      <c r="M24" s="6"/>
      <c r="N24" s="7">
        <f t="shared" si="5"/>
        <v>0</v>
      </c>
      <c r="O24" s="14">
        <v>98</v>
      </c>
      <c r="P24" s="7">
        <f t="shared" si="6"/>
        <v>243.45549738219896</v>
      </c>
      <c r="Q24" s="14"/>
      <c r="R24" s="7">
        <f t="shared" si="7"/>
        <v>0</v>
      </c>
      <c r="S24" s="8">
        <f>P24+R24+L24+N24+J24+H24+F24</f>
        <v>643.73560942701693</v>
      </c>
      <c r="T24" s="6">
        <f t="shared" si="8"/>
        <v>14</v>
      </c>
      <c r="U24" s="6">
        <f t="shared" si="9"/>
        <v>4</v>
      </c>
      <c r="V24" s="13">
        <f t="shared" si="10"/>
        <v>0.66666666666666663</v>
      </c>
    </row>
    <row r="25" spans="1:22" x14ac:dyDescent="0.3">
      <c r="A25" s="5">
        <f t="shared" si="0"/>
        <v>15</v>
      </c>
      <c r="B25" s="6" t="s">
        <v>166</v>
      </c>
      <c r="C25" s="6" t="s">
        <v>180</v>
      </c>
      <c r="D25" s="6" t="s">
        <v>399</v>
      </c>
      <c r="E25" s="6">
        <v>13</v>
      </c>
      <c r="F25" s="7">
        <f t="shared" si="1"/>
        <v>55.555555555555557</v>
      </c>
      <c r="G25" s="6">
        <v>24</v>
      </c>
      <c r="H25" s="7">
        <f t="shared" si="2"/>
        <v>58.823529411764703</v>
      </c>
      <c r="I25" s="6">
        <v>17</v>
      </c>
      <c r="J25" s="7">
        <f t="shared" si="3"/>
        <v>154.28571428571428</v>
      </c>
      <c r="K25" s="6">
        <v>120</v>
      </c>
      <c r="L25" s="7">
        <f t="shared" si="4"/>
        <v>148.6910994764398</v>
      </c>
      <c r="M25" s="6">
        <v>18</v>
      </c>
      <c r="N25" s="7">
        <f t="shared" si="5"/>
        <v>136.36363636363637</v>
      </c>
      <c r="O25" s="6">
        <v>117</v>
      </c>
      <c r="P25" s="7">
        <f t="shared" si="6"/>
        <v>193.717277486911</v>
      </c>
      <c r="Q25" s="6"/>
      <c r="R25" s="7">
        <f t="shared" si="7"/>
        <v>0</v>
      </c>
      <c r="S25" s="8">
        <f>P25+J25+L25+N25</f>
        <v>633.05772761270146</v>
      </c>
      <c r="T25" s="6">
        <f t="shared" si="8"/>
        <v>15</v>
      </c>
      <c r="U25" s="6">
        <f t="shared" si="9"/>
        <v>6</v>
      </c>
      <c r="V25" s="13">
        <f t="shared" si="10"/>
        <v>1</v>
      </c>
    </row>
    <row r="26" spans="1:22" x14ac:dyDescent="0.3">
      <c r="A26" s="5">
        <f t="shared" si="0"/>
        <v>16</v>
      </c>
      <c r="B26" s="6" t="s">
        <v>123</v>
      </c>
      <c r="C26" s="6" t="s">
        <v>407</v>
      </c>
      <c r="D26" s="6" t="s">
        <v>397</v>
      </c>
      <c r="E26" s="6"/>
      <c r="F26" s="7">
        <f t="shared" si="1"/>
        <v>0</v>
      </c>
      <c r="G26" s="6"/>
      <c r="H26" s="7">
        <f t="shared" si="2"/>
        <v>0</v>
      </c>
      <c r="I26" s="6">
        <v>19</v>
      </c>
      <c r="J26" s="7">
        <f t="shared" si="3"/>
        <v>137.14285714285714</v>
      </c>
      <c r="K26" s="6">
        <v>101</v>
      </c>
      <c r="L26" s="7">
        <f t="shared" si="4"/>
        <v>188.48167539267016</v>
      </c>
      <c r="M26" s="6">
        <v>9</v>
      </c>
      <c r="N26" s="7">
        <f t="shared" si="5"/>
        <v>218.18181818181819</v>
      </c>
      <c r="O26" s="6">
        <v>159</v>
      </c>
      <c r="P26" s="7">
        <f t="shared" si="6"/>
        <v>83.769633507853399</v>
      </c>
      <c r="Q26" s="6"/>
      <c r="R26" s="7">
        <f t="shared" si="7"/>
        <v>0</v>
      </c>
      <c r="S26" s="8">
        <f>P26+R26+L26+N26+J26+H26+F26</f>
        <v>627.57598422519891</v>
      </c>
      <c r="T26" s="6">
        <f t="shared" si="8"/>
        <v>16</v>
      </c>
      <c r="U26" s="6">
        <f t="shared" si="9"/>
        <v>4</v>
      </c>
      <c r="V26" s="13">
        <f t="shared" si="10"/>
        <v>0.66666666666666663</v>
      </c>
    </row>
    <row r="27" spans="1:22" x14ac:dyDescent="0.3">
      <c r="A27" s="5">
        <f t="shared" si="0"/>
        <v>17</v>
      </c>
      <c r="B27" s="6" t="s">
        <v>176</v>
      </c>
      <c r="C27" s="6" t="s">
        <v>177</v>
      </c>
      <c r="D27" s="6" t="s">
        <v>397</v>
      </c>
      <c r="E27" s="6"/>
      <c r="F27" s="7">
        <f t="shared" si="1"/>
        <v>0</v>
      </c>
      <c r="G27" s="6"/>
      <c r="H27" s="7">
        <f t="shared" si="2"/>
        <v>0</v>
      </c>
      <c r="I27" s="6">
        <v>20</v>
      </c>
      <c r="J27" s="7">
        <f t="shared" si="3"/>
        <v>128.57142857142858</v>
      </c>
      <c r="K27" s="6">
        <v>124</v>
      </c>
      <c r="L27" s="7">
        <f t="shared" si="4"/>
        <v>140.31413612565444</v>
      </c>
      <c r="M27" s="6">
        <v>15</v>
      </c>
      <c r="N27" s="7">
        <f t="shared" si="5"/>
        <v>163.63636363636363</v>
      </c>
      <c r="O27" s="6">
        <v>142</v>
      </c>
      <c r="P27" s="7">
        <f t="shared" si="6"/>
        <v>128.27225130890054</v>
      </c>
      <c r="Q27" s="6"/>
      <c r="R27" s="7">
        <f t="shared" si="7"/>
        <v>0</v>
      </c>
      <c r="S27" s="8">
        <f>P27+R27+L27+N27+J27+H27+F27</f>
        <v>560.79417964234722</v>
      </c>
      <c r="T27" s="6">
        <f t="shared" si="8"/>
        <v>17</v>
      </c>
      <c r="U27" s="6">
        <f t="shared" si="9"/>
        <v>4</v>
      </c>
      <c r="V27" s="13">
        <f t="shared" si="10"/>
        <v>0.66666666666666663</v>
      </c>
    </row>
    <row r="28" spans="1:22" x14ac:dyDescent="0.3">
      <c r="A28" s="5">
        <f t="shared" si="0"/>
        <v>18</v>
      </c>
      <c r="B28" s="6" t="s">
        <v>409</v>
      </c>
      <c r="C28" s="6" t="s">
        <v>128</v>
      </c>
      <c r="D28" s="6" t="s">
        <v>399</v>
      </c>
      <c r="E28" s="6">
        <v>6</v>
      </c>
      <c r="F28" s="7">
        <f t="shared" si="1"/>
        <v>133.33333333333334</v>
      </c>
      <c r="G28" s="6"/>
      <c r="H28" s="7">
        <f t="shared" si="2"/>
        <v>0</v>
      </c>
      <c r="I28" s="6">
        <v>10</v>
      </c>
      <c r="J28" s="7">
        <f t="shared" si="3"/>
        <v>214.28571428571428</v>
      </c>
      <c r="K28" s="6"/>
      <c r="L28" s="7">
        <f t="shared" si="4"/>
        <v>0</v>
      </c>
      <c r="M28" s="6">
        <v>13</v>
      </c>
      <c r="N28" s="7">
        <f t="shared" si="5"/>
        <v>181.81818181818181</v>
      </c>
      <c r="O28" s="14"/>
      <c r="P28" s="7">
        <f t="shared" si="6"/>
        <v>0</v>
      </c>
      <c r="Q28" s="14"/>
      <c r="R28" s="7">
        <f t="shared" si="7"/>
        <v>0</v>
      </c>
      <c r="S28" s="8">
        <f>P28+R28+L28+N28+J28+H28+F28</f>
        <v>529.43722943722946</v>
      </c>
      <c r="T28" s="6">
        <f t="shared" si="8"/>
        <v>18</v>
      </c>
      <c r="U28" s="6">
        <f t="shared" si="9"/>
        <v>3</v>
      </c>
      <c r="V28" s="13">
        <f t="shared" si="10"/>
        <v>0.5</v>
      </c>
    </row>
    <row r="29" spans="1:22" x14ac:dyDescent="0.3">
      <c r="A29" s="5">
        <f t="shared" si="0"/>
        <v>19</v>
      </c>
      <c r="B29" s="6" t="s">
        <v>416</v>
      </c>
      <c r="C29" s="6" t="s">
        <v>404</v>
      </c>
      <c r="D29" s="6" t="s">
        <v>401</v>
      </c>
      <c r="E29" s="6">
        <v>16</v>
      </c>
      <c r="F29" s="7">
        <f t="shared" si="1"/>
        <v>22.222222222222221</v>
      </c>
      <c r="G29" s="6"/>
      <c r="H29" s="7">
        <f t="shared" si="2"/>
        <v>0</v>
      </c>
      <c r="I29" s="6">
        <v>8</v>
      </c>
      <c r="J29" s="7">
        <f t="shared" si="3"/>
        <v>231.42857142857142</v>
      </c>
      <c r="K29" s="6"/>
      <c r="L29" s="7">
        <f t="shared" si="4"/>
        <v>0</v>
      </c>
      <c r="M29" s="6">
        <v>6</v>
      </c>
      <c r="N29" s="7">
        <f t="shared" si="5"/>
        <v>245.45454545454547</v>
      </c>
      <c r="O29" s="6"/>
      <c r="P29" s="7">
        <f t="shared" si="6"/>
        <v>0</v>
      </c>
      <c r="Q29" s="6"/>
      <c r="R29" s="7">
        <f t="shared" si="7"/>
        <v>0</v>
      </c>
      <c r="S29" s="8">
        <f>P29+R29+L29+N29+J29+H29+F29</f>
        <v>499.10533910533911</v>
      </c>
      <c r="T29" s="6">
        <f t="shared" si="8"/>
        <v>19</v>
      </c>
      <c r="U29" s="6">
        <f t="shared" si="9"/>
        <v>3</v>
      </c>
      <c r="V29" s="13">
        <f t="shared" si="10"/>
        <v>0.5</v>
      </c>
    </row>
    <row r="30" spans="1:22" x14ac:dyDescent="0.3">
      <c r="A30" s="5">
        <f t="shared" si="0"/>
        <v>20</v>
      </c>
      <c r="B30" s="6" t="s">
        <v>412</v>
      </c>
      <c r="C30" s="6" t="s">
        <v>407</v>
      </c>
      <c r="D30" s="6" t="s">
        <v>400</v>
      </c>
      <c r="E30" s="6">
        <v>10</v>
      </c>
      <c r="F30" s="7">
        <f t="shared" si="1"/>
        <v>88.888888888888886</v>
      </c>
      <c r="G30" s="6"/>
      <c r="H30" s="7">
        <f t="shared" si="2"/>
        <v>0</v>
      </c>
      <c r="I30" s="6"/>
      <c r="J30" s="7">
        <f t="shared" si="3"/>
        <v>0</v>
      </c>
      <c r="K30" s="6">
        <v>148</v>
      </c>
      <c r="L30" s="7">
        <f t="shared" si="4"/>
        <v>90.052356020942412</v>
      </c>
      <c r="M30" s="6"/>
      <c r="N30" s="7">
        <f t="shared" si="5"/>
        <v>0</v>
      </c>
      <c r="O30" s="14">
        <v>77</v>
      </c>
      <c r="P30" s="7">
        <f t="shared" si="6"/>
        <v>298.42931937172773</v>
      </c>
      <c r="Q30" s="14"/>
      <c r="R30" s="7">
        <f t="shared" si="7"/>
        <v>0</v>
      </c>
      <c r="S30" s="8">
        <f>P30+R30+L30+N30+J30+H30+F30</f>
        <v>477.37056428155904</v>
      </c>
      <c r="T30" s="6">
        <f t="shared" si="8"/>
        <v>20</v>
      </c>
      <c r="U30" s="6">
        <f t="shared" si="9"/>
        <v>3</v>
      </c>
      <c r="V30" s="13">
        <f t="shared" si="10"/>
        <v>0.5</v>
      </c>
    </row>
    <row r="31" spans="1:22" x14ac:dyDescent="0.3">
      <c r="A31" s="5">
        <f t="shared" si="0"/>
        <v>21</v>
      </c>
      <c r="B31" s="6" t="s">
        <v>119</v>
      </c>
      <c r="C31" s="6" t="s">
        <v>120</v>
      </c>
      <c r="D31" s="6" t="s">
        <v>65</v>
      </c>
      <c r="E31" s="6"/>
      <c r="F31" s="7">
        <f t="shared" si="1"/>
        <v>0</v>
      </c>
      <c r="G31" s="6">
        <v>27</v>
      </c>
      <c r="H31" s="7">
        <f t="shared" si="2"/>
        <v>41.176470588235297</v>
      </c>
      <c r="I31" s="6">
        <v>28</v>
      </c>
      <c r="J31" s="7">
        <f t="shared" si="3"/>
        <v>60</v>
      </c>
      <c r="K31" s="6">
        <v>122</v>
      </c>
      <c r="L31" s="7">
        <f t="shared" si="4"/>
        <v>144.50261780104711</v>
      </c>
      <c r="M31" s="6">
        <v>19</v>
      </c>
      <c r="N31" s="7">
        <f t="shared" si="5"/>
        <v>127.27272727272727</v>
      </c>
      <c r="O31" s="6">
        <v>153</v>
      </c>
      <c r="P31" s="7">
        <f t="shared" si="6"/>
        <v>99.47643979057591</v>
      </c>
      <c r="Q31" s="6"/>
      <c r="R31" s="7">
        <f t="shared" si="7"/>
        <v>0</v>
      </c>
      <c r="S31" s="8">
        <f>N31+L31+P31+J31</f>
        <v>431.25178486435027</v>
      </c>
      <c r="T31" s="6">
        <f t="shared" si="8"/>
        <v>21</v>
      </c>
      <c r="U31" s="6">
        <f t="shared" si="9"/>
        <v>5</v>
      </c>
      <c r="V31" s="13">
        <f t="shared" si="10"/>
        <v>0.83333333333333337</v>
      </c>
    </row>
    <row r="32" spans="1:22" x14ac:dyDescent="0.3">
      <c r="A32" s="5">
        <f t="shared" si="0"/>
        <v>22</v>
      </c>
      <c r="B32" s="6" t="s">
        <v>403</v>
      </c>
      <c r="C32" s="6" t="s">
        <v>222</v>
      </c>
      <c r="D32" s="6" t="s">
        <v>400</v>
      </c>
      <c r="E32" s="6">
        <v>18</v>
      </c>
      <c r="F32" s="7">
        <f>11/2</f>
        <v>5.5</v>
      </c>
      <c r="G32" s="6"/>
      <c r="H32" s="7">
        <f t="shared" si="2"/>
        <v>0</v>
      </c>
      <c r="I32" s="6">
        <v>11</v>
      </c>
      <c r="J32" s="7">
        <f t="shared" si="3"/>
        <v>205.71428571428572</v>
      </c>
      <c r="K32" s="6">
        <v>164</v>
      </c>
      <c r="L32" s="7">
        <f t="shared" si="4"/>
        <v>56.544502617801044</v>
      </c>
      <c r="M32" s="6">
        <v>22</v>
      </c>
      <c r="N32" s="7">
        <f t="shared" si="5"/>
        <v>100</v>
      </c>
      <c r="O32" s="6">
        <v>167</v>
      </c>
      <c r="P32" s="7">
        <f t="shared" si="6"/>
        <v>62.827225130890049</v>
      </c>
      <c r="Q32" s="6"/>
      <c r="R32" s="7">
        <f t="shared" si="7"/>
        <v>0</v>
      </c>
      <c r="S32" s="8">
        <f>J32+N32+P32+L32</f>
        <v>425.08601346297678</v>
      </c>
      <c r="T32" s="6">
        <f t="shared" si="8"/>
        <v>22</v>
      </c>
      <c r="U32" s="6">
        <f t="shared" si="9"/>
        <v>5</v>
      </c>
      <c r="V32" s="13">
        <f t="shared" si="10"/>
        <v>0.83333333333333337</v>
      </c>
    </row>
    <row r="33" spans="1:22" x14ac:dyDescent="0.3">
      <c r="A33" s="5">
        <f t="shared" si="0"/>
        <v>23</v>
      </c>
      <c r="B33" s="6" t="s">
        <v>70</v>
      </c>
      <c r="C33" s="6" t="s">
        <v>71</v>
      </c>
      <c r="D33" s="6" t="s">
        <v>397</v>
      </c>
      <c r="E33" s="6">
        <v>3</v>
      </c>
      <c r="F33" s="7">
        <f t="shared" ref="F33:F54" si="11">IF(E33=0,,($E$9-E33)*$E$7*100/$E$9)</f>
        <v>166.66666666666666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>
        <v>115</v>
      </c>
      <c r="P33" s="7">
        <f t="shared" si="6"/>
        <v>198.95287958115182</v>
      </c>
      <c r="Q33" s="6"/>
      <c r="R33" s="7">
        <f t="shared" si="7"/>
        <v>0</v>
      </c>
      <c r="S33" s="8">
        <f t="shared" ref="S33:S54" si="12">P33+R33+L33+N33+J33+H33+F33</f>
        <v>365.61954624781845</v>
      </c>
      <c r="T33" s="6">
        <f t="shared" si="8"/>
        <v>23</v>
      </c>
      <c r="U33" s="6">
        <f t="shared" si="9"/>
        <v>2</v>
      </c>
      <c r="V33" s="13">
        <f t="shared" si="10"/>
        <v>0.33333333333333331</v>
      </c>
    </row>
    <row r="34" spans="1:22" x14ac:dyDescent="0.3">
      <c r="A34" s="5">
        <f t="shared" si="0"/>
        <v>24</v>
      </c>
      <c r="B34" s="6" t="s">
        <v>75</v>
      </c>
      <c r="C34" s="6" t="s">
        <v>76</v>
      </c>
      <c r="D34" s="6" t="s">
        <v>65</v>
      </c>
      <c r="E34" s="6"/>
      <c r="F34" s="7">
        <f t="shared" si="11"/>
        <v>0</v>
      </c>
      <c r="G34" s="6"/>
      <c r="H34" s="7">
        <f t="shared" si="2"/>
        <v>0</v>
      </c>
      <c r="I34" s="6">
        <v>14</v>
      </c>
      <c r="J34" s="7">
        <f t="shared" si="3"/>
        <v>180</v>
      </c>
      <c r="K34" s="6"/>
      <c r="L34" s="7">
        <f t="shared" si="4"/>
        <v>0</v>
      </c>
      <c r="M34" s="6">
        <v>14</v>
      </c>
      <c r="N34" s="7">
        <f t="shared" si="5"/>
        <v>172.72727272727272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12"/>
        <v>352.72727272727275</v>
      </c>
      <c r="T34" s="6">
        <f t="shared" si="8"/>
        <v>24</v>
      </c>
      <c r="U34" s="6">
        <f t="shared" si="9"/>
        <v>2</v>
      </c>
      <c r="V34" s="13">
        <f t="shared" si="10"/>
        <v>0.33333333333333331</v>
      </c>
    </row>
    <row r="35" spans="1:22" x14ac:dyDescent="0.3">
      <c r="A35" s="5">
        <f t="shared" si="0"/>
        <v>25</v>
      </c>
      <c r="B35" s="6" t="s">
        <v>414</v>
      </c>
      <c r="C35" s="6" t="s">
        <v>405</v>
      </c>
      <c r="D35" s="6" t="s">
        <v>397</v>
      </c>
      <c r="E35" s="6">
        <v>14</v>
      </c>
      <c r="F35" s="7">
        <f t="shared" si="11"/>
        <v>44.444444444444443</v>
      </c>
      <c r="G35" s="6"/>
      <c r="H35" s="7">
        <f t="shared" si="2"/>
        <v>0</v>
      </c>
      <c r="I35" s="6">
        <v>15</v>
      </c>
      <c r="J35" s="7">
        <f t="shared" si="3"/>
        <v>171.42857142857142</v>
      </c>
      <c r="K35" s="6"/>
      <c r="L35" s="7">
        <f t="shared" si="4"/>
        <v>0</v>
      </c>
      <c r="M35" s="6">
        <v>23</v>
      </c>
      <c r="N35" s="7">
        <f t="shared" si="5"/>
        <v>90.909090909090907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12"/>
        <v>306.78210678210678</v>
      </c>
      <c r="T35" s="6">
        <f t="shared" si="8"/>
        <v>25</v>
      </c>
      <c r="U35" s="6">
        <f t="shared" si="9"/>
        <v>3</v>
      </c>
      <c r="V35" s="13">
        <f t="shared" si="10"/>
        <v>0.5</v>
      </c>
    </row>
    <row r="36" spans="1:22" x14ac:dyDescent="0.3">
      <c r="A36" s="5">
        <f t="shared" si="0"/>
        <v>26</v>
      </c>
      <c r="B36" s="6" t="s">
        <v>451</v>
      </c>
      <c r="C36" s="6" t="s">
        <v>452</v>
      </c>
      <c r="D36" s="6" t="s">
        <v>378</v>
      </c>
      <c r="E36" s="6"/>
      <c r="F36" s="7">
        <f t="shared" si="11"/>
        <v>0</v>
      </c>
      <c r="G36" s="6"/>
      <c r="H36" s="7">
        <f t="shared" si="2"/>
        <v>0</v>
      </c>
      <c r="I36" s="6">
        <v>23</v>
      </c>
      <c r="J36" s="7">
        <f t="shared" si="3"/>
        <v>102.85714285714286</v>
      </c>
      <c r="K36" s="6">
        <v>187</v>
      </c>
      <c r="L36" s="7">
        <f t="shared" si="4"/>
        <v>8.3769633507853403</v>
      </c>
      <c r="M36" s="6">
        <v>20</v>
      </c>
      <c r="N36" s="7">
        <f t="shared" si="5"/>
        <v>118.18181818181819</v>
      </c>
      <c r="O36" s="6">
        <v>189</v>
      </c>
      <c r="P36" s="7">
        <f t="shared" si="6"/>
        <v>5.2356020942408374</v>
      </c>
      <c r="Q36" s="6"/>
      <c r="R36" s="7">
        <f t="shared" si="7"/>
        <v>0</v>
      </c>
      <c r="S36" s="8">
        <f t="shared" si="12"/>
        <v>234.65152648398723</v>
      </c>
      <c r="T36" s="6">
        <f t="shared" si="8"/>
        <v>26</v>
      </c>
      <c r="U36" s="6">
        <f t="shared" si="9"/>
        <v>4</v>
      </c>
      <c r="V36" s="13">
        <f t="shared" si="10"/>
        <v>0.66666666666666663</v>
      </c>
    </row>
    <row r="37" spans="1:22" x14ac:dyDescent="0.3">
      <c r="A37" s="5">
        <f t="shared" si="0"/>
        <v>27</v>
      </c>
      <c r="B37" s="6" t="s">
        <v>157</v>
      </c>
      <c r="C37" s="6" t="s">
        <v>84</v>
      </c>
      <c r="D37" s="6" t="s">
        <v>72</v>
      </c>
      <c r="E37" s="6"/>
      <c r="F37" s="7">
        <f t="shared" si="11"/>
        <v>0</v>
      </c>
      <c r="G37" s="6"/>
      <c r="H37" s="7">
        <f t="shared" si="2"/>
        <v>0</v>
      </c>
      <c r="I37" s="6">
        <v>25</v>
      </c>
      <c r="J37" s="7">
        <f t="shared" si="3"/>
        <v>85.714285714285708</v>
      </c>
      <c r="K37" s="6">
        <v>187</v>
      </c>
      <c r="L37" s="7">
        <f t="shared" si="4"/>
        <v>8.3769633507853403</v>
      </c>
      <c r="M37" s="6">
        <v>26</v>
      </c>
      <c r="N37" s="7">
        <f t="shared" si="5"/>
        <v>63.636363636363633</v>
      </c>
      <c r="O37" s="6">
        <v>165</v>
      </c>
      <c r="P37" s="7">
        <f t="shared" si="6"/>
        <v>68.062827225130889</v>
      </c>
      <c r="Q37" s="6"/>
      <c r="R37" s="7">
        <f t="shared" si="7"/>
        <v>0</v>
      </c>
      <c r="S37" s="8">
        <f t="shared" si="12"/>
        <v>225.79043992656557</v>
      </c>
      <c r="T37" s="6">
        <f t="shared" si="8"/>
        <v>27</v>
      </c>
      <c r="U37" s="6">
        <f t="shared" si="9"/>
        <v>4</v>
      </c>
      <c r="V37" s="13">
        <f t="shared" si="10"/>
        <v>0.66666666666666663</v>
      </c>
    </row>
    <row r="38" spans="1:22" x14ac:dyDescent="0.3">
      <c r="A38" s="5">
        <f t="shared" si="0"/>
        <v>28</v>
      </c>
      <c r="B38" s="6" t="s">
        <v>410</v>
      </c>
      <c r="C38" s="6" t="s">
        <v>404</v>
      </c>
      <c r="D38" s="6" t="s">
        <v>397</v>
      </c>
      <c r="E38" s="6">
        <v>7</v>
      </c>
      <c r="F38" s="7">
        <f t="shared" si="11"/>
        <v>122.22222222222223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4"/>
        <v>0</v>
      </c>
      <c r="M38" s="6">
        <v>25</v>
      </c>
      <c r="N38" s="7">
        <f t="shared" si="5"/>
        <v>72.727272727272734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12"/>
        <v>194.94949494949498</v>
      </c>
      <c r="T38" s="6">
        <f t="shared" si="8"/>
        <v>28</v>
      </c>
      <c r="U38" s="6">
        <f t="shared" si="9"/>
        <v>2</v>
      </c>
      <c r="V38" s="13">
        <f t="shared" si="10"/>
        <v>0.33333333333333331</v>
      </c>
    </row>
    <row r="39" spans="1:22" x14ac:dyDescent="0.3">
      <c r="A39" s="5">
        <f t="shared" si="0"/>
        <v>29</v>
      </c>
      <c r="B39" s="6" t="s">
        <v>121</v>
      </c>
      <c r="C39" s="6" t="s">
        <v>122</v>
      </c>
      <c r="D39" s="6" t="s">
        <v>49</v>
      </c>
      <c r="E39" s="6"/>
      <c r="F39" s="7">
        <f t="shared" si="11"/>
        <v>0</v>
      </c>
      <c r="G39" s="6"/>
      <c r="H39" s="7">
        <f t="shared" si="2"/>
        <v>0</v>
      </c>
      <c r="I39" s="6">
        <v>24</v>
      </c>
      <c r="J39" s="7">
        <f t="shared" si="3"/>
        <v>94.285714285714292</v>
      </c>
      <c r="K39" s="6"/>
      <c r="L39" s="7">
        <f t="shared" si="4"/>
        <v>0</v>
      </c>
      <c r="M39" s="6">
        <v>24</v>
      </c>
      <c r="N39" s="7">
        <f t="shared" si="5"/>
        <v>81.818181818181813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12"/>
        <v>176.10389610389609</v>
      </c>
      <c r="T39" s="6">
        <f t="shared" si="8"/>
        <v>29</v>
      </c>
      <c r="U39" s="6">
        <f t="shared" si="9"/>
        <v>2</v>
      </c>
      <c r="V39" s="13">
        <f t="shared" si="10"/>
        <v>0.33333333333333331</v>
      </c>
    </row>
    <row r="40" spans="1:22" x14ac:dyDescent="0.3">
      <c r="A40" s="5">
        <f t="shared" si="0"/>
        <v>30</v>
      </c>
      <c r="B40" s="6" t="s">
        <v>436</v>
      </c>
      <c r="C40" s="6" t="s">
        <v>406</v>
      </c>
      <c r="D40" s="6" t="s">
        <v>58</v>
      </c>
      <c r="E40" s="6"/>
      <c r="F40" s="7">
        <f t="shared" si="11"/>
        <v>0</v>
      </c>
      <c r="G40" s="6">
        <v>23</v>
      </c>
      <c r="H40" s="7">
        <f t="shared" si="2"/>
        <v>64.705882352941174</v>
      </c>
      <c r="I40" s="6"/>
      <c r="J40" s="7">
        <f t="shared" si="3"/>
        <v>0</v>
      </c>
      <c r="K40" s="6"/>
      <c r="L40" s="7">
        <f t="shared" si="4"/>
        <v>0</v>
      </c>
      <c r="M40" s="6">
        <v>27</v>
      </c>
      <c r="N40" s="7">
        <f t="shared" si="5"/>
        <v>54.545454545454547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12"/>
        <v>119.25133689839572</v>
      </c>
      <c r="T40" s="6">
        <f t="shared" si="8"/>
        <v>30</v>
      </c>
      <c r="U40" s="6">
        <f t="shared" si="9"/>
        <v>2</v>
      </c>
      <c r="V40" s="13">
        <f t="shared" si="10"/>
        <v>0.33333333333333331</v>
      </c>
    </row>
    <row r="41" spans="1:22" x14ac:dyDescent="0.3">
      <c r="A41" s="5">
        <f t="shared" si="0"/>
        <v>31</v>
      </c>
      <c r="B41" s="6" t="s">
        <v>338</v>
      </c>
      <c r="C41" s="6" t="s">
        <v>164</v>
      </c>
      <c r="D41" s="6" t="s">
        <v>65</v>
      </c>
      <c r="E41" s="6"/>
      <c r="F41" s="7">
        <f t="shared" si="11"/>
        <v>0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4"/>
        <v>0</v>
      </c>
      <c r="M41" s="6">
        <v>21</v>
      </c>
      <c r="N41" s="7">
        <f t="shared" si="5"/>
        <v>109.09090909090909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12"/>
        <v>109.09090909090909</v>
      </c>
      <c r="T41" s="6">
        <f t="shared" si="8"/>
        <v>31</v>
      </c>
      <c r="U41" s="6">
        <f t="shared" si="9"/>
        <v>1</v>
      </c>
      <c r="V41" s="13">
        <f t="shared" si="10"/>
        <v>0.16666666666666666</v>
      </c>
    </row>
    <row r="42" spans="1:22" x14ac:dyDescent="0.3">
      <c r="A42" s="5">
        <f t="shared" si="0"/>
        <v>32</v>
      </c>
      <c r="B42" s="6" t="s">
        <v>453</v>
      </c>
      <c r="C42" s="6" t="s">
        <v>454</v>
      </c>
      <c r="D42" s="6" t="s">
        <v>72</v>
      </c>
      <c r="E42" s="6"/>
      <c r="F42" s="7">
        <f t="shared" si="11"/>
        <v>0</v>
      </c>
      <c r="G42" s="6"/>
      <c r="H42" s="7">
        <f t="shared" si="2"/>
        <v>0</v>
      </c>
      <c r="I42" s="6">
        <v>27</v>
      </c>
      <c r="J42" s="7">
        <f t="shared" si="3"/>
        <v>68.571428571428569</v>
      </c>
      <c r="K42" s="6"/>
      <c r="L42" s="7">
        <f t="shared" si="4"/>
        <v>0</v>
      </c>
      <c r="M42" s="6">
        <v>29</v>
      </c>
      <c r="N42" s="7">
        <f t="shared" si="5"/>
        <v>36.363636363636367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12"/>
        <v>104.93506493506493</v>
      </c>
      <c r="T42" s="6">
        <f t="shared" si="8"/>
        <v>32</v>
      </c>
      <c r="U42" s="6">
        <f t="shared" si="9"/>
        <v>2</v>
      </c>
      <c r="V42" s="13">
        <f t="shared" si="10"/>
        <v>0.33333333333333331</v>
      </c>
    </row>
    <row r="43" spans="1:22" x14ac:dyDescent="0.3">
      <c r="A43" s="5">
        <f t="shared" si="0"/>
        <v>33</v>
      </c>
      <c r="B43" s="6" t="s">
        <v>185</v>
      </c>
      <c r="C43" s="6" t="s">
        <v>179</v>
      </c>
      <c r="D43" s="6" t="s">
        <v>398</v>
      </c>
      <c r="E43" s="6"/>
      <c r="F43" s="7">
        <f t="shared" si="11"/>
        <v>0</v>
      </c>
      <c r="G43" s="6"/>
      <c r="H43" s="7">
        <f t="shared" si="2"/>
        <v>0</v>
      </c>
      <c r="I43" s="6">
        <v>26</v>
      </c>
      <c r="J43" s="7">
        <f t="shared" si="3"/>
        <v>77.142857142857139</v>
      </c>
      <c r="K43" s="6"/>
      <c r="L43" s="7">
        <f t="shared" si="4"/>
        <v>0</v>
      </c>
      <c r="M43" s="6">
        <v>31</v>
      </c>
      <c r="N43" s="7">
        <f t="shared" si="5"/>
        <v>18.181818181818183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12"/>
        <v>95.324675324675326</v>
      </c>
      <c r="T43" s="6">
        <f t="shared" si="8"/>
        <v>33</v>
      </c>
      <c r="U43" s="6">
        <f t="shared" si="9"/>
        <v>2</v>
      </c>
      <c r="V43" s="13">
        <f t="shared" si="10"/>
        <v>0.33333333333333331</v>
      </c>
    </row>
    <row r="44" spans="1:22" x14ac:dyDescent="0.3">
      <c r="A44" s="5">
        <f t="shared" si="0"/>
        <v>34</v>
      </c>
      <c r="B44" s="6" t="s">
        <v>341</v>
      </c>
      <c r="C44" s="6" t="s">
        <v>340</v>
      </c>
      <c r="D44" s="6" t="s">
        <v>65</v>
      </c>
      <c r="E44" s="6"/>
      <c r="F44" s="7">
        <f t="shared" si="11"/>
        <v>0</v>
      </c>
      <c r="G44" s="6"/>
      <c r="H44" s="7">
        <f t="shared" si="2"/>
        <v>0</v>
      </c>
      <c r="I44" s="6">
        <v>29</v>
      </c>
      <c r="J44" s="7">
        <f t="shared" si="3"/>
        <v>51.428571428571431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12"/>
        <v>51.428571428571431</v>
      </c>
      <c r="T44" s="6">
        <f t="shared" si="8"/>
        <v>34</v>
      </c>
      <c r="U44" s="6">
        <f t="shared" si="9"/>
        <v>1</v>
      </c>
      <c r="V44" s="13">
        <f t="shared" si="10"/>
        <v>0.16666666666666666</v>
      </c>
    </row>
    <row r="45" spans="1:22" x14ac:dyDescent="0.3">
      <c r="A45" s="5">
        <f t="shared" si="0"/>
        <v>35</v>
      </c>
      <c r="B45" s="6" t="s">
        <v>125</v>
      </c>
      <c r="C45" s="6" t="s">
        <v>126</v>
      </c>
      <c r="D45" s="6" t="s">
        <v>72</v>
      </c>
      <c r="E45" s="6"/>
      <c r="F45" s="7">
        <f t="shared" si="11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4"/>
        <v>0</v>
      </c>
      <c r="M45" s="6">
        <v>28</v>
      </c>
      <c r="N45" s="7">
        <f t="shared" si="5"/>
        <v>45.454545454545453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12"/>
        <v>45.454545454545453</v>
      </c>
      <c r="T45" s="6">
        <f t="shared" si="8"/>
        <v>35</v>
      </c>
      <c r="U45" s="6">
        <f t="shared" si="9"/>
        <v>1</v>
      </c>
      <c r="V45" s="13">
        <f t="shared" si="10"/>
        <v>0.16666666666666666</v>
      </c>
    </row>
    <row r="46" spans="1:22" x14ac:dyDescent="0.3">
      <c r="A46" s="5">
        <f t="shared" si="0"/>
        <v>36</v>
      </c>
      <c r="B46" s="6" t="s">
        <v>455</v>
      </c>
      <c r="C46" s="6" t="s">
        <v>194</v>
      </c>
      <c r="D46" s="6" t="s">
        <v>378</v>
      </c>
      <c r="E46" s="6"/>
      <c r="F46" s="7">
        <f t="shared" si="11"/>
        <v>0</v>
      </c>
      <c r="G46" s="6"/>
      <c r="H46" s="7">
        <f t="shared" si="2"/>
        <v>0</v>
      </c>
      <c r="I46" s="6">
        <v>30</v>
      </c>
      <c r="J46" s="7">
        <f t="shared" si="3"/>
        <v>42.857142857142854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12"/>
        <v>42.857142857142854</v>
      </c>
      <c r="T46" s="6">
        <f t="shared" si="8"/>
        <v>36</v>
      </c>
      <c r="U46" s="6">
        <f t="shared" si="9"/>
        <v>1</v>
      </c>
      <c r="V46" s="13">
        <f t="shared" si="10"/>
        <v>0.16666666666666666</v>
      </c>
    </row>
    <row r="47" spans="1:22" x14ac:dyDescent="0.3">
      <c r="A47" s="5">
        <f t="shared" si="0"/>
        <v>37</v>
      </c>
      <c r="B47" s="6" t="s">
        <v>456</v>
      </c>
      <c r="C47" s="6" t="s">
        <v>339</v>
      </c>
      <c r="D47" s="6" t="s">
        <v>65</v>
      </c>
      <c r="E47" s="6"/>
      <c r="F47" s="7">
        <f t="shared" si="11"/>
        <v>0</v>
      </c>
      <c r="G47" s="6"/>
      <c r="H47" s="7">
        <f t="shared" si="2"/>
        <v>0</v>
      </c>
      <c r="I47" s="6">
        <v>31</v>
      </c>
      <c r="J47" s="7">
        <f t="shared" si="3"/>
        <v>34.285714285714285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12"/>
        <v>34.285714285714285</v>
      </c>
      <c r="T47" s="6">
        <f t="shared" si="8"/>
        <v>37</v>
      </c>
      <c r="U47" s="6">
        <f t="shared" si="9"/>
        <v>1</v>
      </c>
      <c r="V47" s="13">
        <f t="shared" si="10"/>
        <v>0.16666666666666666</v>
      </c>
    </row>
    <row r="48" spans="1:22" x14ac:dyDescent="0.3">
      <c r="A48" s="5">
        <f t="shared" si="0"/>
        <v>38</v>
      </c>
      <c r="B48" s="6" t="s">
        <v>458</v>
      </c>
      <c r="C48" s="6" t="s">
        <v>459</v>
      </c>
      <c r="D48" s="6" t="s">
        <v>65</v>
      </c>
      <c r="E48" s="6"/>
      <c r="F48" s="7">
        <f t="shared" si="11"/>
        <v>0</v>
      </c>
      <c r="G48" s="6"/>
      <c r="H48" s="7">
        <f>5/2</f>
        <v>2.5</v>
      </c>
      <c r="I48" s="6">
        <v>34</v>
      </c>
      <c r="J48" s="7">
        <f t="shared" si="3"/>
        <v>8.5714285714285712</v>
      </c>
      <c r="K48" s="6"/>
      <c r="L48" s="7">
        <f t="shared" si="4"/>
        <v>0</v>
      </c>
      <c r="M48" s="6">
        <v>32</v>
      </c>
      <c r="N48" s="7">
        <f t="shared" si="5"/>
        <v>9.0909090909090917</v>
      </c>
      <c r="O48" s="6">
        <v>186</v>
      </c>
      <c r="P48" s="7">
        <f t="shared" si="6"/>
        <v>13.089005235602095</v>
      </c>
      <c r="Q48" s="6"/>
      <c r="R48" s="7">
        <f t="shared" si="7"/>
        <v>0</v>
      </c>
      <c r="S48" s="8">
        <f t="shared" si="12"/>
        <v>33.251342897939757</v>
      </c>
      <c r="T48" s="6">
        <f t="shared" si="8"/>
        <v>38</v>
      </c>
      <c r="U48" s="6">
        <f t="shared" si="9"/>
        <v>3</v>
      </c>
      <c r="V48" s="13">
        <f t="shared" si="10"/>
        <v>0.5</v>
      </c>
    </row>
    <row r="49" spans="1:22" x14ac:dyDescent="0.3">
      <c r="A49" s="5">
        <f t="shared" si="0"/>
        <v>39</v>
      </c>
      <c r="B49" s="6" t="s">
        <v>535</v>
      </c>
      <c r="C49" s="6" t="s">
        <v>86</v>
      </c>
      <c r="D49" s="6" t="s">
        <v>401</v>
      </c>
      <c r="E49" s="6"/>
      <c r="F49" s="7">
        <f t="shared" si="11"/>
        <v>0</v>
      </c>
      <c r="G49" s="6"/>
      <c r="H49" s="7">
        <f t="shared" ref="H49:H54" si="13">IF(G49=0,,($G$9-G49)*$G$7*100/$G$9)</f>
        <v>0</v>
      </c>
      <c r="I49" s="6"/>
      <c r="J49" s="7">
        <f t="shared" si="3"/>
        <v>0</v>
      </c>
      <c r="K49" s="6"/>
      <c r="L49" s="7">
        <f t="shared" si="4"/>
        <v>0</v>
      </c>
      <c r="M49" s="6">
        <v>30</v>
      </c>
      <c r="N49" s="7">
        <f t="shared" si="5"/>
        <v>27.272727272727273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12"/>
        <v>27.272727272727273</v>
      </c>
      <c r="T49" s="6">
        <f t="shared" si="8"/>
        <v>39</v>
      </c>
      <c r="U49" s="6">
        <f t="shared" si="9"/>
        <v>1</v>
      </c>
      <c r="V49" s="13">
        <f t="shared" si="10"/>
        <v>0.16666666666666666</v>
      </c>
    </row>
    <row r="50" spans="1:22" x14ac:dyDescent="0.3">
      <c r="A50" s="5">
        <f t="shared" si="0"/>
        <v>40</v>
      </c>
      <c r="B50" s="6" t="s">
        <v>115</v>
      </c>
      <c r="C50" s="6" t="s">
        <v>116</v>
      </c>
      <c r="D50" s="6" t="s">
        <v>72</v>
      </c>
      <c r="E50" s="6"/>
      <c r="F50" s="7">
        <f t="shared" si="11"/>
        <v>0</v>
      </c>
      <c r="G50" s="6"/>
      <c r="H50" s="7">
        <f t="shared" si="13"/>
        <v>0</v>
      </c>
      <c r="I50" s="6">
        <v>32</v>
      </c>
      <c r="J50" s="7">
        <f t="shared" si="3"/>
        <v>25.714285714285715</v>
      </c>
      <c r="K50" s="6"/>
      <c r="L50" s="7">
        <f t="shared" si="4"/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12"/>
        <v>25.714285714285715</v>
      </c>
      <c r="T50" s="6">
        <f t="shared" si="8"/>
        <v>40</v>
      </c>
      <c r="U50" s="6">
        <f t="shared" si="9"/>
        <v>1</v>
      </c>
      <c r="V50" s="13">
        <f t="shared" si="10"/>
        <v>0.16666666666666666</v>
      </c>
    </row>
    <row r="51" spans="1:22" x14ac:dyDescent="0.3">
      <c r="A51" s="5">
        <f t="shared" si="0"/>
        <v>41</v>
      </c>
      <c r="B51" s="6" t="s">
        <v>457</v>
      </c>
      <c r="C51" s="6" t="s">
        <v>429</v>
      </c>
      <c r="D51" s="6" t="s">
        <v>378</v>
      </c>
      <c r="E51" s="6"/>
      <c r="F51" s="7">
        <f t="shared" si="11"/>
        <v>0</v>
      </c>
      <c r="G51" s="6"/>
      <c r="H51" s="7">
        <f t="shared" si="13"/>
        <v>0</v>
      </c>
      <c r="I51" s="6">
        <v>33</v>
      </c>
      <c r="J51" s="7">
        <f t="shared" si="3"/>
        <v>17.142857142857142</v>
      </c>
      <c r="K51" s="6"/>
      <c r="L51" s="7">
        <f t="shared" si="4"/>
        <v>0</v>
      </c>
      <c r="M51" s="6"/>
      <c r="N51" s="7">
        <f t="shared" si="5"/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12"/>
        <v>17.142857142857142</v>
      </c>
      <c r="T51" s="6">
        <f t="shared" si="8"/>
        <v>41</v>
      </c>
      <c r="U51" s="6">
        <f t="shared" si="9"/>
        <v>1</v>
      </c>
      <c r="V51" s="13">
        <f t="shared" si="10"/>
        <v>0.16666666666666666</v>
      </c>
    </row>
    <row r="52" spans="1:22" x14ac:dyDescent="0.3">
      <c r="A52" s="5">
        <f t="shared" si="0"/>
        <v>42</v>
      </c>
      <c r="B52" s="6" t="s">
        <v>417</v>
      </c>
      <c r="C52" s="6" t="s">
        <v>164</v>
      </c>
      <c r="D52" s="6" t="s">
        <v>402</v>
      </c>
      <c r="E52" s="6">
        <v>17</v>
      </c>
      <c r="F52" s="7">
        <f t="shared" si="11"/>
        <v>11.111111111111111</v>
      </c>
      <c r="G52" s="6"/>
      <c r="H52" s="7">
        <f t="shared" si="13"/>
        <v>0</v>
      </c>
      <c r="I52" s="6"/>
      <c r="J52" s="7">
        <f t="shared" si="3"/>
        <v>0</v>
      </c>
      <c r="K52" s="6"/>
      <c r="L52" s="7">
        <f t="shared" si="4"/>
        <v>0</v>
      </c>
      <c r="M52" s="6"/>
      <c r="N52" s="7">
        <f t="shared" si="5"/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12"/>
        <v>11.111111111111111</v>
      </c>
      <c r="T52" s="6">
        <f t="shared" si="8"/>
        <v>42</v>
      </c>
      <c r="U52" s="6">
        <f t="shared" si="9"/>
        <v>1</v>
      </c>
      <c r="V52" s="13">
        <f t="shared" si="10"/>
        <v>0.16666666666666666</v>
      </c>
    </row>
    <row r="53" spans="1:22" x14ac:dyDescent="0.3">
      <c r="A53" s="5">
        <f t="shared" si="0"/>
        <v>43</v>
      </c>
      <c r="B53" s="6" t="s">
        <v>460</v>
      </c>
      <c r="C53" s="6" t="s">
        <v>384</v>
      </c>
      <c r="D53" s="6" t="s">
        <v>291</v>
      </c>
      <c r="E53" s="6"/>
      <c r="F53" s="7">
        <f t="shared" si="11"/>
        <v>0</v>
      </c>
      <c r="G53" s="6"/>
      <c r="H53" s="7">
        <f t="shared" si="13"/>
        <v>0</v>
      </c>
      <c r="I53" s="6">
        <v>35</v>
      </c>
      <c r="J53" s="7">
        <f>9/2</f>
        <v>4.5</v>
      </c>
      <c r="K53" s="6"/>
      <c r="L53" s="7">
        <f t="shared" si="4"/>
        <v>0</v>
      </c>
      <c r="M53" s="6">
        <v>33</v>
      </c>
      <c r="N53" s="7">
        <f>9/2</f>
        <v>4.5</v>
      </c>
      <c r="O53" s="6"/>
      <c r="P53" s="7">
        <f t="shared" si="6"/>
        <v>0</v>
      </c>
      <c r="Q53" s="6"/>
      <c r="R53" s="7">
        <f t="shared" si="7"/>
        <v>0</v>
      </c>
      <c r="S53" s="8">
        <f t="shared" si="12"/>
        <v>9</v>
      </c>
      <c r="T53" s="6">
        <f t="shared" si="8"/>
        <v>43</v>
      </c>
      <c r="U53" s="6">
        <f t="shared" si="9"/>
        <v>2</v>
      </c>
      <c r="V53" s="13">
        <f t="shared" si="10"/>
        <v>0.33333333333333331</v>
      </c>
    </row>
    <row r="54" spans="1:22" x14ac:dyDescent="0.3">
      <c r="A54" s="5">
        <f t="shared" si="0"/>
        <v>44</v>
      </c>
      <c r="B54" s="6" t="s">
        <v>461</v>
      </c>
      <c r="C54" s="6" t="s">
        <v>462</v>
      </c>
      <c r="D54" s="6" t="s">
        <v>378</v>
      </c>
      <c r="E54" s="6"/>
      <c r="F54" s="7">
        <f t="shared" si="11"/>
        <v>0</v>
      </c>
      <c r="G54" s="6"/>
      <c r="H54" s="7">
        <f t="shared" si="13"/>
        <v>0</v>
      </c>
      <c r="I54" s="6">
        <v>35</v>
      </c>
      <c r="J54" s="7">
        <f>9/2</f>
        <v>4.5</v>
      </c>
      <c r="K54" s="6"/>
      <c r="L54" s="7">
        <f t="shared" si="4"/>
        <v>0</v>
      </c>
      <c r="M54" s="6"/>
      <c r="N54" s="7">
        <f>IF(M54=0,,($M$9-M54)*$M$7*100/$M$9)</f>
        <v>0</v>
      </c>
      <c r="O54" s="6"/>
      <c r="P54" s="7">
        <f t="shared" si="6"/>
        <v>0</v>
      </c>
      <c r="Q54" s="6"/>
      <c r="R54" s="7">
        <f t="shared" si="7"/>
        <v>0</v>
      </c>
      <c r="S54" s="8">
        <f t="shared" si="12"/>
        <v>4.5</v>
      </c>
      <c r="T54" s="6">
        <f t="shared" si="8"/>
        <v>44</v>
      </c>
      <c r="U54" s="6">
        <f t="shared" si="9"/>
        <v>1</v>
      </c>
      <c r="V54" s="13">
        <f t="shared" si="10"/>
        <v>0.16666666666666666</v>
      </c>
    </row>
    <row r="55" spans="1:22" x14ac:dyDescent="0.3">
      <c r="A55" s="32" t="s">
        <v>18</v>
      </c>
      <c r="B55" s="32"/>
      <c r="C55" s="33"/>
      <c r="E55">
        <f>COUNTA(E11:E54)</f>
        <v>18</v>
      </c>
      <c r="G55">
        <f>COUNTA(G11:G54)</f>
        <v>12</v>
      </c>
      <c r="I55">
        <f>COUNTA(I11:I54)</f>
        <v>36</v>
      </c>
      <c r="K55">
        <f>COUNTA(K11:K54)</f>
        <v>21</v>
      </c>
      <c r="M55">
        <f>COUNTA(M11:M54)</f>
        <v>33</v>
      </c>
      <c r="O55">
        <f>COUNTA(O11:O54)</f>
        <v>24</v>
      </c>
      <c r="Q55">
        <f>COUNTA(Q11:Q54)</f>
        <v>0</v>
      </c>
    </row>
    <row r="56" spans="1:22" x14ac:dyDescent="0.3">
      <c r="A56" s="34" t="s">
        <v>35</v>
      </c>
      <c r="B56" s="32"/>
      <c r="C56" s="33"/>
      <c r="E56" s="12">
        <f>E55/$G$2</f>
        <v>0.40909090909090912</v>
      </c>
      <c r="G56" s="12">
        <f>G55/$G$2</f>
        <v>0.27272727272727271</v>
      </c>
      <c r="I56" s="12">
        <f>I55/$G$2</f>
        <v>0.81818181818181823</v>
      </c>
      <c r="K56" s="12">
        <f>K55/$G$2</f>
        <v>0.47727272727272729</v>
      </c>
      <c r="M56" s="12">
        <f>M55/$G$2</f>
        <v>0.75</v>
      </c>
      <c r="O56" s="12">
        <f>O55/$G$2</f>
        <v>0.54545454545454541</v>
      </c>
      <c r="Q56" s="12">
        <f>Q55/$G$2</f>
        <v>0</v>
      </c>
    </row>
    <row r="58" spans="1:22" x14ac:dyDescent="0.3">
      <c r="L58" t="s">
        <v>22</v>
      </c>
    </row>
    <row r="59" spans="1:22" x14ac:dyDescent="0.3">
      <c r="L59" t="s">
        <v>22</v>
      </c>
    </row>
    <row r="60" spans="1:22" x14ac:dyDescent="0.3">
      <c r="L60" t="s">
        <v>22</v>
      </c>
    </row>
    <row r="61" spans="1:22" x14ac:dyDescent="0.3">
      <c r="L61" t="s">
        <v>22</v>
      </c>
    </row>
    <row r="62" spans="1:22" x14ac:dyDescent="0.3">
      <c r="L62" t="s">
        <v>22</v>
      </c>
    </row>
    <row r="63" spans="1:22" x14ac:dyDescent="0.3">
      <c r="L63" t="s">
        <v>22</v>
      </c>
    </row>
    <row r="64" spans="1:22" x14ac:dyDescent="0.3">
      <c r="L64" t="s">
        <v>22</v>
      </c>
    </row>
    <row r="65" spans="12:12" x14ac:dyDescent="0.3">
      <c r="L65" t="s">
        <v>22</v>
      </c>
    </row>
    <row r="66" spans="12:12" x14ac:dyDescent="0.3">
      <c r="L66" t="s">
        <v>22</v>
      </c>
    </row>
    <row r="67" spans="12:12" x14ac:dyDescent="0.3">
      <c r="L67" t="s">
        <v>22</v>
      </c>
    </row>
    <row r="68" spans="12:12" x14ac:dyDescent="0.3">
      <c r="L68" t="s">
        <v>22</v>
      </c>
    </row>
    <row r="69" spans="12:12" x14ac:dyDescent="0.3">
      <c r="L69" t="s">
        <v>22</v>
      </c>
    </row>
  </sheetData>
  <sortState xmlns:xlrd2="http://schemas.microsoft.com/office/spreadsheetml/2017/richdata2" ref="A11:V54">
    <sortCondition descending="1" ref="S11:S54"/>
  </sortState>
  <mergeCells count="34">
    <mergeCell ref="A55:C55"/>
    <mergeCell ref="E2:F2"/>
    <mergeCell ref="E3:F3"/>
    <mergeCell ref="A56:C56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10</vt:i4>
      </vt:variant>
    </vt:vector>
  </HeadingPairs>
  <TitlesOfParts>
    <vt:vector size="33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Selection-SH-M15</vt:lpstr>
      <vt:lpstr>SD-M15-</vt:lpstr>
      <vt:lpstr>Selection-SD-M15</vt:lpstr>
      <vt:lpstr>SH-M13-</vt:lpstr>
      <vt:lpstr>SD-M13-</vt:lpstr>
      <vt:lpstr>SH-M11-</vt:lpstr>
      <vt:lpstr>SH-M11- CDF</vt:lpstr>
      <vt:lpstr>SD-M11-</vt:lpstr>
      <vt:lpstr>SD-M11-CDF</vt:lpstr>
      <vt:lpstr>SH-M9- CDF</vt:lpstr>
      <vt:lpstr>SH-M9-</vt:lpstr>
      <vt:lpstr>SD-M9-</vt:lpstr>
      <vt:lpstr>SD-M9-CDF</vt:lpstr>
      <vt:lpstr>Statistiques</vt:lpstr>
      <vt:lpstr>'SD-M11-'!Zone_d_impression</vt:lpstr>
      <vt:lpstr>'SD-M11-CDF'!Zone_d_impression</vt:lpstr>
      <vt:lpstr>'SD-M13-'!Zone_d_impression</vt:lpstr>
      <vt:lpstr>'SD-M9-'!Zone_d_impression</vt:lpstr>
      <vt:lpstr>'SD-M9-CDF'!Zone_d_impression</vt:lpstr>
      <vt:lpstr>'SH-M11-'!Zone_d_impression</vt:lpstr>
      <vt:lpstr>'SH-M11- CDF'!Zone_d_impression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2024-05-27T07:40:23Z</cp:lastPrinted>
  <dcterms:created xsi:type="dcterms:W3CDTF">2019-05-02T05:27:41Z</dcterms:created>
  <dcterms:modified xsi:type="dcterms:W3CDTF">2025-06-06T08:28:29Z</dcterms:modified>
</cp:coreProperties>
</file>